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ericd\Desktop\edurant.github.io\misc\"/>
    </mc:Choice>
  </mc:AlternateContent>
  <xr:revisionPtr revIDLastSave="0" documentId="8_{FCE8CC9A-360C-497C-BFD0-B9BE7FD5F4D3}" xr6:coauthVersionLast="47" xr6:coauthVersionMax="47" xr10:uidLastSave="{00000000-0000-0000-0000-000000000000}"/>
  <bookViews>
    <workbookView xWindow="-110" yWindow="-110" windowWidth="38620" windowHeight="21100" xr2:uid="{22DFF0DB-EADE-4BCA-B1E9-3CDF61AFC9B1}"/>
  </bookViews>
  <sheets>
    <sheet name="Lens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1" l="1"/>
  <c r="L103" i="1"/>
  <c r="N103" i="1" s="1"/>
  <c r="I103" i="1"/>
  <c r="Q103" i="1" s="1"/>
  <c r="H103" i="1"/>
  <c r="G103" i="1"/>
  <c r="F103" i="1"/>
  <c r="S80" i="1"/>
  <c r="S79" i="1"/>
  <c r="S63" i="1"/>
  <c r="S62" i="1"/>
  <c r="S94" i="1"/>
  <c r="M101" i="1"/>
  <c r="L101" i="1"/>
  <c r="N101" i="1"/>
  <c r="I101" i="1"/>
  <c r="Q101" i="1" s="1"/>
  <c r="H101" i="1"/>
  <c r="G101" i="1"/>
  <c r="F101" i="1"/>
  <c r="V109" i="1"/>
  <c r="V108" i="1"/>
  <c r="S112" i="1"/>
  <c r="AN110" i="1"/>
  <c r="AL110" i="1"/>
  <c r="S110" i="1"/>
  <c r="R111" i="1"/>
  <c r="S111" i="1" s="1"/>
  <c r="L110" i="1"/>
  <c r="D110" i="1"/>
  <c r="L112" i="1" s="1"/>
  <c r="N112" i="1" s="1"/>
  <c r="E110" i="1"/>
  <c r="M112" i="1" s="1"/>
  <c r="F110" i="1"/>
  <c r="H110" i="1"/>
  <c r="AL48" i="1"/>
  <c r="S93" i="1"/>
  <c r="S92" i="1"/>
  <c r="F11" i="1"/>
  <c r="D11" i="1"/>
  <c r="L80" i="1" s="1"/>
  <c r="D87" i="1"/>
  <c r="L87" i="1" s="1"/>
  <c r="L5" i="1"/>
  <c r="M5" i="1"/>
  <c r="I11" i="1"/>
  <c r="Q79" i="1" s="1"/>
  <c r="I87" i="1"/>
  <c r="Q88" i="1" s="1"/>
  <c r="Q92" i="1"/>
  <c r="S88" i="1"/>
  <c r="S87" i="1"/>
  <c r="Q87" i="1"/>
  <c r="S19" i="1"/>
  <c r="K14" i="1"/>
  <c r="S14" i="1" s="1"/>
  <c r="S15" i="1"/>
  <c r="AK38" i="1"/>
  <c r="K2" i="1"/>
  <c r="F113" i="1"/>
  <c r="D113" i="1" s="1"/>
  <c r="F105" i="1"/>
  <c r="D105" i="1" s="1"/>
  <c r="K107" i="1"/>
  <c r="K109" i="1" s="1"/>
  <c r="K108" i="1"/>
  <c r="L99" i="1"/>
  <c r="M99" i="1"/>
  <c r="N99" i="1"/>
  <c r="L95" i="1"/>
  <c r="M95" i="1"/>
  <c r="N95" i="1"/>
  <c r="L72" i="1"/>
  <c r="L69" i="1"/>
  <c r="L65" i="1"/>
  <c r="L60" i="1"/>
  <c r="L57" i="1"/>
  <c r="L54" i="1"/>
  <c r="L51" i="1"/>
  <c r="L48" i="1"/>
  <c r="L45" i="1"/>
  <c r="L39" i="1"/>
  <c r="L33" i="1"/>
  <c r="L29" i="1"/>
  <c r="L24" i="1"/>
  <c r="L22" i="1"/>
  <c r="L16" i="1"/>
  <c r="L14" i="1"/>
  <c r="S68" i="1"/>
  <c r="L13" i="1"/>
  <c r="M13" i="1"/>
  <c r="N13" i="1" s="1"/>
  <c r="L11" i="1"/>
  <c r="L10" i="1"/>
  <c r="N10" i="1" s="1"/>
  <c r="M10" i="1"/>
  <c r="L9" i="1"/>
  <c r="N9" i="1" s="1"/>
  <c r="M9" i="1"/>
  <c r="L8" i="1"/>
  <c r="N8" i="1" s="1"/>
  <c r="M8" i="1"/>
  <c r="L7" i="1"/>
  <c r="N7" i="1" s="1"/>
  <c r="M7" i="1"/>
  <c r="L6" i="1"/>
  <c r="N6" i="1" s="1"/>
  <c r="M6" i="1"/>
  <c r="L4" i="1"/>
  <c r="N4" i="1" s="1"/>
  <c r="M4" i="1"/>
  <c r="L3" i="1"/>
  <c r="M3" i="1"/>
  <c r="N3" i="1"/>
  <c r="L2" i="1"/>
  <c r="N2" i="1" s="1"/>
  <c r="M2" i="1"/>
  <c r="I97" i="1"/>
  <c r="Q97" i="1" s="1"/>
  <c r="I95" i="1"/>
  <c r="Q95" i="1"/>
  <c r="H95" i="1"/>
  <c r="G95" i="1"/>
  <c r="F95" i="1"/>
  <c r="I99" i="1"/>
  <c r="Q99" i="1" s="1"/>
  <c r="H99" i="1"/>
  <c r="G99" i="1"/>
  <c r="F99" i="1"/>
  <c r="AK32" i="1"/>
  <c r="S32" i="1"/>
  <c r="Q32" i="1"/>
  <c r="AK24" i="1"/>
  <c r="S24" i="1"/>
  <c r="Q24" i="1"/>
  <c r="AK18" i="1"/>
  <c r="S18" i="1"/>
  <c r="S17" i="1"/>
  <c r="S69" i="1"/>
  <c r="Q69" i="1"/>
  <c r="S78" i="1"/>
  <c r="S77" i="1"/>
  <c r="Q78" i="1"/>
  <c r="Q77" i="1"/>
  <c r="S75" i="1"/>
  <c r="Q76" i="1"/>
  <c r="R76" i="1"/>
  <c r="S76" i="1"/>
  <c r="AK74" i="1"/>
  <c r="S84" i="1"/>
  <c r="Q84" i="1"/>
  <c r="S83" i="1"/>
  <c r="Q83" i="1"/>
  <c r="AL113" i="1"/>
  <c r="AL105" i="1"/>
  <c r="AN25" i="1"/>
  <c r="S25" i="1"/>
  <c r="S28" i="1"/>
  <c r="S27" i="1"/>
  <c r="S26" i="1"/>
  <c r="Q25" i="1"/>
  <c r="AL13" i="1"/>
  <c r="AL11" i="1"/>
  <c r="S49" i="1"/>
  <c r="S48" i="1"/>
  <c r="Q49" i="1"/>
  <c r="Q48" i="1"/>
  <c r="AK37" i="1"/>
  <c r="S37" i="1"/>
  <c r="Q37" i="1"/>
  <c r="S34" i="1"/>
  <c r="S29" i="1"/>
  <c r="Q29" i="1"/>
  <c r="R115" i="1"/>
  <c r="S115" i="1" s="1"/>
  <c r="R114" i="1"/>
  <c r="S114" i="1"/>
  <c r="S113" i="1"/>
  <c r="S107" i="1"/>
  <c r="S109" i="1" s="1"/>
  <c r="S105" i="1"/>
  <c r="S108" i="1" s="1"/>
  <c r="R106" i="1"/>
  <c r="S106" i="1"/>
  <c r="S91" i="1"/>
  <c r="R90" i="1"/>
  <c r="S90" i="1"/>
  <c r="S89" i="1"/>
  <c r="S86" i="1"/>
  <c r="S85" i="1"/>
  <c r="S82" i="1"/>
  <c r="S81" i="1"/>
  <c r="R74" i="1"/>
  <c r="S74" i="1"/>
  <c r="S73" i="1"/>
  <c r="S72" i="1"/>
  <c r="S71" i="1"/>
  <c r="S70" i="1"/>
  <c r="S67" i="1"/>
  <c r="S66" i="1"/>
  <c r="R65" i="1"/>
  <c r="S65" i="1"/>
  <c r="S64" i="1"/>
  <c r="S61" i="1"/>
  <c r="S60" i="1"/>
  <c r="R59" i="1"/>
  <c r="S59" i="1"/>
  <c r="S58" i="1"/>
  <c r="S57" i="1"/>
  <c r="S56" i="1"/>
  <c r="R55" i="1"/>
  <c r="S55" i="1" s="1"/>
  <c r="S54" i="1"/>
  <c r="R53" i="1"/>
  <c r="S53" i="1" s="1"/>
  <c r="S52" i="1"/>
  <c r="S51" i="1"/>
  <c r="S50" i="1"/>
  <c r="S47" i="1"/>
  <c r="S46" i="1"/>
  <c r="S45" i="1"/>
  <c r="S44" i="1"/>
  <c r="S43" i="1"/>
  <c r="S42" i="1"/>
  <c r="S41" i="1"/>
  <c r="S40" i="1"/>
  <c r="S39" i="1"/>
  <c r="S36" i="1"/>
  <c r="S35" i="1"/>
  <c r="S33" i="1"/>
  <c r="S31" i="1"/>
  <c r="S30" i="1"/>
  <c r="S23" i="1"/>
  <c r="S22" i="1"/>
  <c r="S21" i="1"/>
  <c r="S20" i="1"/>
  <c r="S16" i="1"/>
  <c r="S13" i="1"/>
  <c r="S11" i="1"/>
  <c r="Q13" i="1"/>
  <c r="Q51" i="1"/>
  <c r="Q50" i="1"/>
  <c r="Q70" i="1"/>
  <c r="Q67" i="1"/>
  <c r="AK58" i="1"/>
  <c r="Q59" i="1"/>
  <c r="Q58" i="1"/>
  <c r="Q65" i="1"/>
  <c r="Q66" i="1"/>
  <c r="Q64" i="1"/>
  <c r="T2" i="1"/>
  <c r="AK44" i="1"/>
  <c r="AK47" i="1"/>
  <c r="AK46" i="1"/>
  <c r="Q72" i="1"/>
  <c r="Q71" i="1"/>
  <c r="AK81" i="1"/>
  <c r="AK73" i="1"/>
  <c r="Q82" i="1"/>
  <c r="Q81" i="1"/>
  <c r="Q74" i="1"/>
  <c r="Q73" i="1"/>
  <c r="Q61" i="1"/>
  <c r="Q60" i="1"/>
  <c r="Q57" i="1"/>
  <c r="Q56" i="1"/>
  <c r="Q55" i="1"/>
  <c r="Q54" i="1"/>
  <c r="Q53" i="1"/>
  <c r="Q52" i="1"/>
  <c r="AK113" i="1"/>
  <c r="AK105" i="1"/>
  <c r="AK85" i="1"/>
  <c r="AK39" i="1"/>
  <c r="Q46" i="1"/>
  <c r="AK45" i="1"/>
  <c r="AK43" i="1"/>
  <c r="AK42" i="1"/>
  <c r="Q42" i="1"/>
  <c r="AK41" i="1"/>
  <c r="AK40" i="1"/>
  <c r="Q40" i="1"/>
  <c r="Q39" i="1"/>
  <c r="Q35" i="1"/>
  <c r="Q33" i="1"/>
  <c r="AK30" i="1"/>
  <c r="Q30" i="1"/>
  <c r="AN113" i="1"/>
  <c r="AN105" i="1"/>
  <c r="Q22" i="1"/>
  <c r="AK11" i="1"/>
  <c r="Q90" i="1"/>
  <c r="Q20" i="1"/>
  <c r="Q16" i="1"/>
  <c r="Q14" i="1"/>
  <c r="Q11" i="1"/>
  <c r="Q91" i="1"/>
  <c r="Q89" i="1"/>
  <c r="H87" i="1"/>
  <c r="F87" i="1"/>
  <c r="C87" i="1"/>
  <c r="B87" i="1"/>
  <c r="C2" i="1"/>
  <c r="B2" i="1"/>
  <c r="Q2" i="1"/>
  <c r="Q47" i="1"/>
  <c r="Q45" i="1"/>
  <c r="Q86" i="1"/>
  <c r="Q85" i="1"/>
  <c r="I2" i="1"/>
  <c r="G2" i="1"/>
  <c r="O8" i="1"/>
  <c r="O6" i="1"/>
  <c r="O3" i="1"/>
  <c r="O5" i="1"/>
  <c r="H2" i="1"/>
  <c r="F2" i="1"/>
  <c r="R108" i="1" l="1"/>
  <c r="Q109" i="1"/>
  <c r="R109" i="1"/>
  <c r="L113" i="1"/>
  <c r="L115" i="1"/>
  <c r="E113" i="1"/>
  <c r="I113" i="1"/>
  <c r="L114" i="1"/>
  <c r="L108" i="1"/>
  <c r="L105" i="1"/>
  <c r="L107" i="1"/>
  <c r="L109" i="1"/>
  <c r="E105" i="1"/>
  <c r="G105" i="1" s="1"/>
  <c r="L106" i="1"/>
  <c r="I105" i="1"/>
  <c r="Q75" i="1"/>
  <c r="O13" i="1"/>
  <c r="L92" i="1"/>
  <c r="E11" i="1"/>
  <c r="G110" i="1"/>
  <c r="L111" i="1"/>
  <c r="L30" i="1"/>
  <c r="L35" i="1"/>
  <c r="L40" i="1"/>
  <c r="L46" i="1"/>
  <c r="L49" i="1"/>
  <c r="L52" i="1"/>
  <c r="L55" i="1"/>
  <c r="L58" i="1"/>
  <c r="L61" i="1"/>
  <c r="L66" i="1"/>
  <c r="L70" i="1"/>
  <c r="L73" i="1"/>
  <c r="L76" i="1"/>
  <c r="L81" i="1"/>
  <c r="L84" i="1"/>
  <c r="L89" i="1"/>
  <c r="Q93" i="1"/>
  <c r="L93" i="1"/>
  <c r="I110" i="1"/>
  <c r="Q94" i="1"/>
  <c r="L62" i="1"/>
  <c r="O99" i="1"/>
  <c r="M111" i="1"/>
  <c r="Q63" i="1"/>
  <c r="L88" i="1"/>
  <c r="M110" i="1"/>
  <c r="O110" i="1" s="1"/>
  <c r="L79" i="1"/>
  <c r="O4" i="1"/>
  <c r="Q80" i="1"/>
  <c r="L20" i="1"/>
  <c r="L25" i="1"/>
  <c r="L32" i="1"/>
  <c r="L37" i="1"/>
  <c r="L42" i="1"/>
  <c r="L47" i="1"/>
  <c r="L50" i="1"/>
  <c r="L53" i="1"/>
  <c r="L56" i="1"/>
  <c r="L59" i="1"/>
  <c r="L64" i="1"/>
  <c r="L67" i="1"/>
  <c r="L71" i="1"/>
  <c r="L74" i="1"/>
  <c r="L77" i="1"/>
  <c r="L82" i="1"/>
  <c r="L85" i="1"/>
  <c r="L90" i="1"/>
  <c r="O7" i="1"/>
  <c r="O95" i="1"/>
  <c r="N5" i="1"/>
  <c r="O111" i="1"/>
  <c r="L94" i="1"/>
  <c r="O103" i="1"/>
  <c r="O112" i="1"/>
  <c r="L63" i="1"/>
  <c r="O9" i="1"/>
  <c r="O101" i="1"/>
  <c r="Q62" i="1"/>
  <c r="O10" i="1"/>
  <c r="O2" i="1"/>
  <c r="L75" i="1"/>
  <c r="L78" i="1"/>
  <c r="L83" i="1"/>
  <c r="L86" i="1"/>
  <c r="L91" i="1"/>
  <c r="O64" i="1" l="1"/>
  <c r="N47" i="1"/>
  <c r="P47" i="1" s="1"/>
  <c r="N110" i="1"/>
  <c r="P110" i="1" s="1"/>
  <c r="N86" i="1"/>
  <c r="P86" i="1" s="1"/>
  <c r="Q115" i="1"/>
  <c r="Q114" i="1"/>
  <c r="Q113" i="1"/>
  <c r="N83" i="1"/>
  <c r="P83" i="1" s="1"/>
  <c r="P95" i="1"/>
  <c r="P49" i="1"/>
  <c r="P101" i="1"/>
  <c r="P112" i="1"/>
  <c r="P4" i="1"/>
  <c r="P111" i="1"/>
  <c r="P8" i="1"/>
  <c r="P103" i="1"/>
  <c r="P105" i="1"/>
  <c r="P10" i="1"/>
  <c r="P7" i="1"/>
  <c r="P3" i="1"/>
  <c r="P99" i="1"/>
  <c r="P67" i="1"/>
  <c r="P64" i="1"/>
  <c r="P13" i="1"/>
  <c r="P5" i="1"/>
  <c r="P2" i="1"/>
  <c r="P9" i="1"/>
  <c r="P6" i="1"/>
  <c r="O82" i="1"/>
  <c r="M113" i="1"/>
  <c r="O113" i="1" s="1"/>
  <c r="M115" i="1"/>
  <c r="N115" i="1" s="1"/>
  <c r="P115" i="1" s="1"/>
  <c r="M114" i="1"/>
  <c r="N114" i="1" s="1"/>
  <c r="P114" i="1" s="1"/>
  <c r="O77" i="1"/>
  <c r="N32" i="1"/>
  <c r="P32" i="1" s="1"/>
  <c r="N66" i="1"/>
  <c r="P66" i="1" s="1"/>
  <c r="Q108" i="1"/>
  <c r="Q107" i="1"/>
  <c r="Q106" i="1"/>
  <c r="Q105" i="1"/>
  <c r="N75" i="1"/>
  <c r="P75" i="1" s="1"/>
  <c r="N25" i="1"/>
  <c r="P25" i="1" s="1"/>
  <c r="N79" i="1"/>
  <c r="P79" i="1" s="1"/>
  <c r="N62" i="1"/>
  <c r="P62" i="1" s="1"/>
  <c r="N61" i="1"/>
  <c r="P61" i="1" s="1"/>
  <c r="N111" i="1"/>
  <c r="Q112" i="1"/>
  <c r="Q111" i="1"/>
  <c r="Q110" i="1"/>
  <c r="N64" i="1"/>
  <c r="O52" i="1"/>
  <c r="N52" i="1"/>
  <c r="P52" i="1" s="1"/>
  <c r="N49" i="1"/>
  <c r="N107" i="1"/>
  <c r="P107" i="1" s="1"/>
  <c r="O107" i="1"/>
  <c r="E87" i="1"/>
  <c r="M11" i="1"/>
  <c r="M80" i="1"/>
  <c r="M86" i="1"/>
  <c r="O86" i="1" s="1"/>
  <c r="M83" i="1"/>
  <c r="M78" i="1"/>
  <c r="O78" i="1" s="1"/>
  <c r="M75" i="1"/>
  <c r="O75" i="1" s="1"/>
  <c r="M72" i="1"/>
  <c r="M69" i="1"/>
  <c r="M65" i="1"/>
  <c r="M60" i="1"/>
  <c r="M57" i="1"/>
  <c r="M54" i="1"/>
  <c r="M51" i="1"/>
  <c r="M48" i="1"/>
  <c r="M45" i="1"/>
  <c r="M39" i="1"/>
  <c r="M33" i="1"/>
  <c r="M29" i="1"/>
  <c r="M22" i="1"/>
  <c r="M14" i="1"/>
  <c r="M63" i="1"/>
  <c r="O63" i="1" s="1"/>
  <c r="M85" i="1"/>
  <c r="O85" i="1" s="1"/>
  <c r="M82" i="1"/>
  <c r="N82" i="1" s="1"/>
  <c r="P82" i="1" s="1"/>
  <c r="M77" i="1"/>
  <c r="N77" i="1" s="1"/>
  <c r="P77" i="1" s="1"/>
  <c r="M74" i="1"/>
  <c r="O74" i="1" s="1"/>
  <c r="M71" i="1"/>
  <c r="O71" i="1" s="1"/>
  <c r="M67" i="1"/>
  <c r="O67" i="1" s="1"/>
  <c r="M64" i="1"/>
  <c r="M59" i="1"/>
  <c r="O59" i="1" s="1"/>
  <c r="M56" i="1"/>
  <c r="M53" i="1"/>
  <c r="M50" i="1"/>
  <c r="O50" i="1" s="1"/>
  <c r="M47" i="1"/>
  <c r="O47" i="1" s="1"/>
  <c r="M42" i="1"/>
  <c r="N42" i="1" s="1"/>
  <c r="P42" i="1" s="1"/>
  <c r="M37" i="1"/>
  <c r="O37" i="1" s="1"/>
  <c r="M32" i="1"/>
  <c r="O32" i="1" s="1"/>
  <c r="M25" i="1"/>
  <c r="O25" i="1" s="1"/>
  <c r="M20" i="1"/>
  <c r="O20" i="1" s="1"/>
  <c r="M79" i="1"/>
  <c r="O79" i="1" s="1"/>
  <c r="G11" i="1"/>
  <c r="G87" i="1" s="1"/>
  <c r="M62" i="1"/>
  <c r="O62" i="1" s="1"/>
  <c r="M84" i="1"/>
  <c r="M81" i="1"/>
  <c r="N81" i="1" s="1"/>
  <c r="P81" i="1" s="1"/>
  <c r="M76" i="1"/>
  <c r="N76" i="1" s="1"/>
  <c r="P76" i="1" s="1"/>
  <c r="M73" i="1"/>
  <c r="O73" i="1" s="1"/>
  <c r="M70" i="1"/>
  <c r="O70" i="1" s="1"/>
  <c r="M66" i="1"/>
  <c r="O66" i="1" s="1"/>
  <c r="M61" i="1"/>
  <c r="O61" i="1" s="1"/>
  <c r="M58" i="1"/>
  <c r="O58" i="1" s="1"/>
  <c r="M55" i="1"/>
  <c r="N55" i="1" s="1"/>
  <c r="P55" i="1" s="1"/>
  <c r="M52" i="1"/>
  <c r="M49" i="1"/>
  <c r="O49" i="1" s="1"/>
  <c r="M46" i="1"/>
  <c r="M40" i="1"/>
  <c r="O40" i="1" s="1"/>
  <c r="M35" i="1"/>
  <c r="O35" i="1" s="1"/>
  <c r="M30" i="1"/>
  <c r="O30" i="1" s="1"/>
  <c r="M24" i="1"/>
  <c r="M16" i="1"/>
  <c r="N105" i="1"/>
  <c r="O105" i="1"/>
  <c r="M108" i="1"/>
  <c r="O108" i="1" s="1"/>
  <c r="M105" i="1"/>
  <c r="M107" i="1"/>
  <c r="M109" i="1"/>
  <c r="O109" i="1" s="1"/>
  <c r="M106" i="1"/>
  <c r="O106" i="1" s="1"/>
  <c r="N59" i="1"/>
  <c r="P59" i="1" s="1"/>
  <c r="N56" i="1"/>
  <c r="P56" i="1" s="1"/>
  <c r="O56" i="1"/>
  <c r="N46" i="1"/>
  <c r="P46" i="1" s="1"/>
  <c r="O114" i="1"/>
  <c r="O84" i="1"/>
  <c r="N84" i="1"/>
  <c r="P84" i="1" s="1"/>
  <c r="O83" i="1"/>
  <c r="N67" i="1"/>
  <c r="N63" i="1"/>
  <c r="P63" i="1" s="1"/>
  <c r="O46" i="1"/>
  <c r="O53" i="1"/>
  <c r="N53" i="1"/>
  <c r="P53" i="1" s="1"/>
  <c r="N50" i="1"/>
  <c r="P50" i="1" s="1"/>
  <c r="O81" i="1"/>
  <c r="G113" i="1"/>
  <c r="O80" i="1" l="1"/>
  <c r="N80" i="1"/>
  <c r="P80" i="1" s="1"/>
  <c r="O11" i="1"/>
  <c r="N11" i="1"/>
  <c r="P11" i="1" s="1"/>
  <c r="N20" i="1"/>
  <c r="P20" i="1" s="1"/>
  <c r="N54" i="1"/>
  <c r="P54" i="1" s="1"/>
  <c r="O54" i="1"/>
  <c r="N48" i="1"/>
  <c r="P48" i="1" s="1"/>
  <c r="O48" i="1"/>
  <c r="N85" i="1"/>
  <c r="P85" i="1" s="1"/>
  <c r="N51" i="1"/>
  <c r="P51" i="1" s="1"/>
  <c r="O51" i="1"/>
  <c r="M92" i="1"/>
  <c r="M93" i="1"/>
  <c r="M87" i="1"/>
  <c r="M91" i="1"/>
  <c r="M94" i="1"/>
  <c r="M90" i="1"/>
  <c r="M88" i="1"/>
  <c r="M89" i="1"/>
  <c r="O76" i="1"/>
  <c r="N57" i="1"/>
  <c r="P57" i="1" s="1"/>
  <c r="O57" i="1"/>
  <c r="N106" i="1"/>
  <c r="P106" i="1" s="1"/>
  <c r="N30" i="1"/>
  <c r="P30" i="1" s="1"/>
  <c r="N60" i="1"/>
  <c r="P60" i="1" s="1"/>
  <c r="O60" i="1"/>
  <c r="N16" i="1"/>
  <c r="P16" i="1" s="1"/>
  <c r="O16" i="1"/>
  <c r="N72" i="1"/>
  <c r="P72" i="1" s="1"/>
  <c r="O72" i="1"/>
  <c r="N71" i="1"/>
  <c r="P71" i="1" s="1"/>
  <c r="O115" i="1"/>
  <c r="N78" i="1"/>
  <c r="P78" i="1" s="1"/>
  <c r="N37" i="1"/>
  <c r="P37" i="1" s="1"/>
  <c r="N73" i="1"/>
  <c r="P73" i="1" s="1"/>
  <c r="O55" i="1"/>
  <c r="N24" i="1"/>
  <c r="P24" i="1" s="1"/>
  <c r="O24" i="1"/>
  <c r="N65" i="1"/>
  <c r="P65" i="1" s="1"/>
  <c r="O65" i="1"/>
  <c r="N70" i="1"/>
  <c r="P70" i="1" s="1"/>
  <c r="N22" i="1"/>
  <c r="P22" i="1" s="1"/>
  <c r="O22" i="1"/>
  <c r="N33" i="1"/>
  <c r="P33" i="1" s="1"/>
  <c r="O33" i="1"/>
  <c r="N113" i="1"/>
  <c r="P113" i="1" s="1"/>
  <c r="N74" i="1"/>
  <c r="P74" i="1" s="1"/>
  <c r="N14" i="1"/>
  <c r="P14" i="1" s="1"/>
  <c r="O14" i="1"/>
  <c r="N35" i="1"/>
  <c r="P35" i="1" s="1"/>
  <c r="N39" i="1"/>
  <c r="P39" i="1" s="1"/>
  <c r="O39" i="1"/>
  <c r="O42" i="1"/>
  <c r="N69" i="1"/>
  <c r="P69" i="1" s="1"/>
  <c r="O69" i="1"/>
  <c r="N58" i="1"/>
  <c r="P58" i="1" s="1"/>
  <c r="N29" i="1"/>
  <c r="P29" i="1" s="1"/>
  <c r="O29" i="1"/>
  <c r="N108" i="1"/>
  <c r="P108" i="1" s="1"/>
  <c r="N40" i="1"/>
  <c r="P40" i="1" s="1"/>
  <c r="O45" i="1"/>
  <c r="N45" i="1"/>
  <c r="P45" i="1" s="1"/>
  <c r="N109" i="1"/>
  <c r="P109" i="1" s="1"/>
  <c r="N90" i="1" l="1"/>
  <c r="P90" i="1" s="1"/>
  <c r="O90" i="1"/>
  <c r="O91" i="1"/>
  <c r="N91" i="1"/>
  <c r="P91" i="1" s="1"/>
  <c r="O94" i="1"/>
  <c r="N94" i="1"/>
  <c r="P94" i="1" s="1"/>
  <c r="N87" i="1"/>
  <c r="P87" i="1" s="1"/>
  <c r="O87" i="1"/>
  <c r="O93" i="1"/>
  <c r="N93" i="1"/>
  <c r="P93" i="1" s="1"/>
  <c r="O89" i="1"/>
  <c r="N89" i="1"/>
  <c r="P89" i="1" s="1"/>
  <c r="O88" i="1"/>
  <c r="N88" i="1"/>
  <c r="P88" i="1" s="1"/>
  <c r="O92" i="1"/>
  <c r="N92" i="1"/>
  <c r="P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Durant</author>
  </authors>
  <commentList>
    <comment ref="X1" authorId="0" shapeId="0" xr:uid="{D95ADD71-620D-4BE9-9948-CB8307F73C4B}">
      <text>
        <r>
          <rPr>
            <b/>
            <sz val="8"/>
            <color indexed="81"/>
            <rFont val="Tahoma"/>
          </rPr>
          <t>Eric Durant:</t>
        </r>
        <r>
          <rPr>
            <sz val="8"/>
            <color indexed="81"/>
            <rFont val="Tahoma"/>
          </rPr>
          <t xml:space="preserve">
Diffractive Optics</t>
        </r>
      </text>
    </comment>
    <comment ref="Z1" authorId="0" shapeId="0" xr:uid="{C7240B1C-BCD0-4AE9-9D2B-73613DEB74F9}">
      <text>
        <r>
          <rPr>
            <b/>
            <sz val="8"/>
            <color indexed="81"/>
            <rFont val="Tahoma"/>
          </rPr>
          <t>Eric Durant:</t>
        </r>
        <r>
          <rPr>
            <sz val="8"/>
            <color indexed="81"/>
            <rFont val="Tahoma"/>
          </rPr>
          <t xml:space="preserve">
Aspherical Lens</t>
        </r>
      </text>
    </comment>
    <comment ref="AA1" authorId="0" shapeId="0" xr:uid="{B86F813C-3414-417B-A6E8-E42674E34727}">
      <text>
        <r>
          <rPr>
            <b/>
            <sz val="8"/>
            <color indexed="81"/>
            <rFont val="Tahoma"/>
          </rPr>
          <t>Eric Durant:</t>
        </r>
        <r>
          <rPr>
            <sz val="8"/>
            <color indexed="81"/>
            <rFont val="Tahoma"/>
          </rPr>
          <t xml:space="preserve">
1 Fluorite</t>
        </r>
      </text>
    </comment>
    <comment ref="AB1" authorId="0" shapeId="0" xr:uid="{8264148F-8846-4E63-A201-12F55FB752E6}">
      <text>
        <r>
          <rPr>
            <b/>
            <sz val="8"/>
            <color indexed="81"/>
            <rFont val="Tahoma"/>
          </rPr>
          <t>Eric Durant:</t>
        </r>
        <r>
          <rPr>
            <sz val="8"/>
            <color indexed="81"/>
            <rFont val="Tahoma"/>
          </rPr>
          <t xml:space="preserve">
n UD Glass</t>
        </r>
      </text>
    </comment>
    <comment ref="AC1" authorId="0" shapeId="0" xr:uid="{397681C7-BCC4-4E19-B158-969F21833123}">
      <text>
        <r>
          <rPr>
            <b/>
            <sz val="8"/>
            <color indexed="81"/>
            <rFont val="Tahoma"/>
          </rPr>
          <t>Eric Durant:</t>
        </r>
        <r>
          <rPr>
            <sz val="8"/>
            <color indexed="81"/>
            <rFont val="Tahoma"/>
          </rPr>
          <t xml:space="preserve">
S-UD Glass</t>
        </r>
      </text>
    </comment>
    <comment ref="AD1" authorId="0" shapeId="0" xr:uid="{BB3C8508-DF23-4378-BF15-743A3B581D15}">
      <text>
        <r>
          <rPr>
            <b/>
            <sz val="8"/>
            <color indexed="81"/>
            <rFont val="Tahoma"/>
          </rPr>
          <t>Eric Durant:</t>
        </r>
        <r>
          <rPr>
            <sz val="8"/>
            <color indexed="81"/>
            <rFont val="Tahoma"/>
          </rPr>
          <t xml:space="preserve">
Inner focusing and rear focusing</t>
        </r>
      </text>
    </comment>
    <comment ref="AE1" authorId="0" shapeId="0" xr:uid="{11EDCC76-C5D9-4C47-BA01-2C2C357E23BE}">
      <text>
        <r>
          <rPr>
            <b/>
            <sz val="8"/>
            <color indexed="81"/>
            <rFont val="Tahoma"/>
          </rPr>
          <t>Eric Durant:</t>
        </r>
        <r>
          <rPr>
            <sz val="8"/>
            <color indexed="81"/>
            <rFont val="Tahoma"/>
          </rPr>
          <t xml:space="preserve">
Full-time manual focusing</t>
        </r>
      </text>
    </comment>
    <comment ref="AF1" authorId="0" shapeId="0" xr:uid="{CE68ACC8-F7B5-4BDF-AC66-DF1AB7A39C68}">
      <text>
        <r>
          <rPr>
            <b/>
            <sz val="8"/>
            <color indexed="81"/>
            <rFont val="Tahoma"/>
          </rPr>
          <t>Eric Durant:</t>
        </r>
        <r>
          <rPr>
            <sz val="8"/>
            <color indexed="81"/>
            <rFont val="Tahoma"/>
          </rPr>
          <t xml:space="preserve">
Circular Aperture</t>
        </r>
      </text>
    </comment>
    <comment ref="AG1" authorId="0" shapeId="0" xr:uid="{D9982CBA-4430-4D6F-AA0E-C90651939520}">
      <text>
        <r>
          <rPr>
            <b/>
            <sz val="8"/>
            <color indexed="81"/>
            <rFont val="Tahoma"/>
          </rPr>
          <t>Eric Durant:</t>
        </r>
        <r>
          <rPr>
            <sz val="8"/>
            <color indexed="81"/>
            <rFont val="Tahoma"/>
          </rPr>
          <t xml:space="preserve">
Focus preset</t>
        </r>
      </text>
    </comment>
    <comment ref="AH1" authorId="0" shapeId="0" xr:uid="{D7C8D18A-0695-4030-A6C9-AA28F1C12F67}">
      <text>
        <r>
          <rPr>
            <b/>
            <sz val="8"/>
            <color indexed="81"/>
            <rFont val="Tahoma"/>
          </rPr>
          <t>Eric Durant:</t>
        </r>
        <r>
          <rPr>
            <sz val="8"/>
            <color indexed="81"/>
            <rFont val="Tahoma"/>
          </rPr>
          <t xml:space="preserve">
Image stabilizer</t>
        </r>
      </text>
    </comment>
    <comment ref="AI1" authorId="0" shapeId="0" xr:uid="{5628586F-FB87-4277-BA37-9B86EACF59A9}">
      <text>
        <r>
          <rPr>
            <b/>
            <sz val="8"/>
            <color indexed="81"/>
            <rFont val="Tahoma"/>
          </rPr>
          <t>Eric Durant:</t>
        </r>
        <r>
          <rPr>
            <sz val="8"/>
            <color indexed="81"/>
            <rFont val="Tahoma"/>
          </rPr>
          <t xml:space="preserve">
AF stop button</t>
        </r>
      </text>
    </comment>
    <comment ref="AJ1" authorId="0" shapeId="0" xr:uid="{EB5E2DEB-1439-4330-93D7-75EB6F4201DF}">
      <text>
        <r>
          <rPr>
            <b/>
            <sz val="8"/>
            <color indexed="81"/>
            <rFont val="Tahoma"/>
          </rPr>
          <t>Eric Durant:</t>
        </r>
        <r>
          <rPr>
            <sz val="8"/>
            <color indexed="81"/>
            <rFont val="Tahoma"/>
          </rPr>
          <t xml:space="preserve">
floating system</t>
        </r>
      </text>
    </comment>
  </commentList>
</comments>
</file>

<file path=xl/sharedStrings.xml><?xml version="1.0" encoding="utf-8"?>
<sst xmlns="http://schemas.openxmlformats.org/spreadsheetml/2006/main" count="179" uniqueCount="141">
  <si>
    <t>Aspect Ratio</t>
  </si>
  <si>
    <t>Sensor width (mm)</t>
  </si>
  <si>
    <t>Sensor height (mm)</t>
  </si>
  <si>
    <t>Sensor Diagonal (mm)</t>
  </si>
  <si>
    <t>Focal Length (mm)</t>
  </si>
  <si>
    <t>Camera</t>
  </si>
  <si>
    <t>Lens</t>
  </si>
  <si>
    <t>Canon G3</t>
  </si>
  <si>
    <t>Sensor Area (mm^2)</t>
  </si>
  <si>
    <t>EF 50mm f/1.4 USM</t>
  </si>
  <si>
    <t xml:space="preserve">EF 35mm f/2 </t>
  </si>
  <si>
    <t>EF 28mm f/2.8</t>
  </si>
  <si>
    <t>EF 100-400mm f/4.5-5.6L IS USM</t>
  </si>
  <si>
    <t>Standard: 7.2-28.8mm f/2-3</t>
  </si>
  <si>
    <t>EF 20mm f/2.8 USM</t>
  </si>
  <si>
    <t>EF 85mm f/1.8 USM</t>
  </si>
  <si>
    <t>EF 135mm f/2L USM</t>
  </si>
  <si>
    <t>EF 400mm f/5.6L USM</t>
  </si>
  <si>
    <t>EF 300mm f/2.8L IS USM</t>
  </si>
  <si>
    <t>EF 600mm f/4L IS USM</t>
  </si>
  <si>
    <t>EF 1200mm f/5.6L USM</t>
  </si>
  <si>
    <t>Standard + WC-DC58N (0.7x)</t>
  </si>
  <si>
    <t>Standard + TC-DC58N (1.75x)</t>
  </si>
  <si>
    <t>EF 500mm f/4 IS USM</t>
  </si>
  <si>
    <t>Pixels / mm</t>
  </si>
  <si>
    <t>Pixels across</t>
  </si>
  <si>
    <t>Pixels down</t>
  </si>
  <si>
    <t>Arc sec / pix edge @ center</t>
  </si>
  <si>
    <t>Wide Angle</t>
  </si>
  <si>
    <t>Telephoto</t>
  </si>
  <si>
    <t>Super Telephoto</t>
  </si>
  <si>
    <t>Standard</t>
  </si>
  <si>
    <t>Ultra Wide Angle</t>
  </si>
  <si>
    <t>Medium Telephoto</t>
  </si>
  <si>
    <t>Fuji FinePix 2600</t>
  </si>
  <si>
    <t>Standard: 6-18mm</t>
  </si>
  <si>
    <t>EF-S 18-55mm f/3.5-5.6</t>
  </si>
  <si>
    <t>EF 14mm f/2.8L USM</t>
  </si>
  <si>
    <t>EF 24mm f/2.8</t>
  </si>
  <si>
    <t>EF 24mm f/1.4L USM</t>
  </si>
  <si>
    <t>EF 15mm f/2.8 Fisheye</t>
  </si>
  <si>
    <t>?</t>
  </si>
  <si>
    <t>EF 28mm f/1.8 USM</t>
  </si>
  <si>
    <t>Weight (oz.)</t>
  </si>
  <si>
    <t>Price (US)</t>
  </si>
  <si>
    <t>EF 35mm f/1.4L USM</t>
  </si>
  <si>
    <t>EF 50mm f/1.8 II</t>
  </si>
  <si>
    <t>EF 85mm f/1.2L USM</t>
  </si>
  <si>
    <t>EF 100mm f/2 USM</t>
  </si>
  <si>
    <t>EF 200mm f/2.8L II USM</t>
  </si>
  <si>
    <t>EF 300mm f/4L IS USM</t>
  </si>
  <si>
    <t>EF 135mm f/2.8 with Softfocus</t>
  </si>
  <si>
    <t>EF 400mm f/2.8L IS USM</t>
  </si>
  <si>
    <t>EF 400mm f/4 DO IS USM</t>
  </si>
  <si>
    <t>EF 16-35mm f/2.8L USM</t>
  </si>
  <si>
    <t>EF 17-40mm f/4L USM</t>
  </si>
  <si>
    <t>EF 20-35mm f/3.5-4.5 USM</t>
  </si>
  <si>
    <t>EF 24-85mm f/3.5-4.5 USM</t>
  </si>
  <si>
    <t>EF 70-200mm f/2.8L IS USM</t>
  </si>
  <si>
    <t>EF 75-300mm f/4-5.6 IS USM</t>
  </si>
  <si>
    <t>Key to Highlighting</t>
  </si>
  <si>
    <t>"Same as above."</t>
  </si>
  <si>
    <t>Longest in the world</t>
  </si>
  <si>
    <t>Standard 35mm Film SLR</t>
  </si>
  <si>
    <t>The most "standard" shooting configuration for the camera, where "standard" is defined according to zoom factor equivalent to a 50mm lens of a 35mm SLR camera.</t>
  </si>
  <si>
    <t>Primary information sources: canon.com and pricegrabber.com.</t>
  </si>
  <si>
    <t>EF 55-200mm f/4.5-5.6 II USM</t>
  </si>
  <si>
    <t>USM</t>
  </si>
  <si>
    <t>Elements</t>
  </si>
  <si>
    <t>Groups</t>
  </si>
  <si>
    <t>DO</t>
  </si>
  <si>
    <t xml:space="preserve">CaF2 </t>
  </si>
  <si>
    <t>S-UD1</t>
  </si>
  <si>
    <t>I/R</t>
  </si>
  <si>
    <t>FT-M</t>
  </si>
  <si>
    <t>CA</t>
  </si>
  <si>
    <t>FP</t>
  </si>
  <si>
    <t>IS</t>
  </si>
  <si>
    <t>AF-S</t>
  </si>
  <si>
    <t>Float</t>
  </si>
  <si>
    <t>Sensor areas found by multiplying WxH from dpreview.com reviews.  See accuracy note below.</t>
  </si>
  <si>
    <t>The sensor in the Fuji FinePix 2600 is specified as 1/2.7".  See dpreview.com for conversion.  See accuracy note below.</t>
  </si>
  <si>
    <t>The difference between calculated and reported (EXIF) sensor resolution is very small and as (or better than) expected given the documented precision.  Canon G3 -0.3%; Fuji FinePix 2600 -0.7%; The Canon D60 reports non-square pixels in EXIF (less than 0.06% disagreement).  Taking the geometric mean (non-spatial resolution distorting) as canonical, the calculations above are in disagreement by only -0.052%.</t>
  </si>
  <si>
    <t>HAoV (deg, min, on axis)</t>
  </si>
  <si>
    <t>VAoV (deg, min, on axis)</t>
  </si>
  <si>
    <t>EF 24-70mm f/2.8L USM</t>
  </si>
  <si>
    <t>Aln</t>
  </si>
  <si>
    <t>EF 28-200mm f/3.5-5.6 USM</t>
  </si>
  <si>
    <t>Sigma 14mm f/2.8 EX HSM ASP</t>
  </si>
  <si>
    <t>~</t>
  </si>
  <si>
    <t>Sigma 15-30mm f/3.5-4.5 EX ASP DG DF</t>
  </si>
  <si>
    <t>Minimum f stop</t>
  </si>
  <si>
    <t>EF 28-135mm f/3.5-5.6 IS USM</t>
  </si>
  <si>
    <t>Aperture diameter (mm)</t>
  </si>
  <si>
    <t>EF 50mm f/2.5 Compact Macro</t>
  </si>
  <si>
    <t>MP-E65mm f/2.8 1-5x Macro Photo</t>
  </si>
  <si>
    <t>EF 100mm f/2.8 Macro USM</t>
  </si>
  <si>
    <t>EF 180mm f/3.5L Macro USM</t>
  </si>
  <si>
    <t>UD  n</t>
  </si>
  <si>
    <t>Sigma 12-24mm f/4.5-5.6 EX DG ASP</t>
  </si>
  <si>
    <t>Notes</t>
  </si>
  <si>
    <t>Threads (mm)</t>
  </si>
  <si>
    <t>Introduced</t>
  </si>
  <si>
    <t>EF 50mm f/1.0L USM</t>
  </si>
  <si>
    <t>All current, prime lenses (including macros) are listed. All lenses featuring IS are included.  All ultra wide zoom lenses are included.  A sampling of other zoom lenses is included.  Select discontinued lenses are included.</t>
  </si>
  <si>
    <t>EF 80-200mm f/4-5.6 II</t>
  </si>
  <si>
    <t>EF 70-200mm f/2.8L USM</t>
  </si>
  <si>
    <t>EF 70-200mm f/4L USM</t>
  </si>
  <si>
    <t>EF 70-300mm f/4.5-5.6 DO IS USM</t>
  </si>
  <si>
    <t>TS-E 24mm f/3.5L</t>
  </si>
  <si>
    <t>TS-E 45mm f/2.8</t>
  </si>
  <si>
    <t>Canon EOS D60 / 10D</t>
  </si>
  <si>
    <t>Canon EOS 1Ds</t>
  </si>
  <si>
    <t>Generic (zoom factor 1)</t>
  </si>
  <si>
    <t>Canon EOS 1D</t>
  </si>
  <si>
    <t>DAoV (deg)</t>
  </si>
  <si>
    <t>Zoom Factor (HA and VA)</t>
  </si>
  <si>
    <t>Zoom Factor (DA)</t>
  </si>
  <si>
    <t>The "zoom factor (HA and VA)" is based on the on-axis AoV product for rectilinear lenses and doesn't consider the increased AoV at the frame edge due to the curve of the sensor projection through the lens to the infinite sphere for non-perspective-corrected lenses.  It is inversely proportional to the square root of the "defished" (natural perspective) rectangle area.  In a true-area sense, it is less accurate for eye-perspective, very wide-angle configurations, but very accurate for telephoto configurations.  The "zoom factor (DA)" is based on the ratio of the DAoV of the standard configuration to the DAoV for the configuration being calculated.</t>
  </si>
  <si>
    <t>EF 28-300mm f/3.5-5.6L IS USM</t>
  </si>
  <si>
    <t>Sigma 180mm f/3.5 EX APO Macro IF HSM</t>
  </si>
  <si>
    <t>The focus is on Canon lenses, but select Sigma lenses are also included.</t>
  </si>
  <si>
    <t>Blades</t>
  </si>
  <si>
    <t>Sigma 20mm f1.8 EX Aspherical DG RF</t>
  </si>
  <si>
    <t>Sigma 24mm F1.8 EX  Aspherical DG DF MACRO</t>
  </si>
  <si>
    <t>EF-S 17-85mm f/4.5-5.6 IS USM</t>
  </si>
  <si>
    <t>EF-S 10-22mm f/3.5-4.5 USM</t>
  </si>
  <si>
    <t>Stripe</t>
  </si>
  <si>
    <t>Sigma 24-70mm f/2.8 EX ASP DG DF</t>
  </si>
  <si>
    <t>Canon S30</t>
  </si>
  <si>
    <t>Standard: 7.1-21.3mm f/2.8-4.9</t>
  </si>
  <si>
    <t>Canon 2004 Winter Rebate</t>
  </si>
  <si>
    <t>Canon EOS 300D / 20D</t>
  </si>
  <si>
    <t>TS-E 90mm f/2.8</t>
  </si>
  <si>
    <t>EF-S 60mm f/2.8 Macro USM</t>
  </si>
  <si>
    <t>EF 24-105mm f/4L IS USM</t>
  </si>
  <si>
    <t>EF 70-300mm f/4-5.6 IS USM</t>
  </si>
  <si>
    <t>too new</t>
  </si>
  <si>
    <t>Canon EOS 1DII / 1DII N</t>
  </si>
  <si>
    <t>Canon EOS 1Ds II</t>
  </si>
  <si>
    <t>Canon EOS 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</si>
</sst>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0.0"/>
    <numFmt numFmtId="168" formatCode="m/yyyy;@"/>
  </numFmts>
  <fonts count="6" x14ac:knownFonts="1">
    <font>
      <sz val="10"/>
      <name val="Arial"/>
    </font>
    <font>
      <sz val="10"/>
      <name val="Arial"/>
    </font>
    <font>
      <sz val="8"/>
      <name val="Arial"/>
    </font>
    <font>
      <b/>
      <sz val="10"/>
      <name val="Arial"/>
      <family val="2"/>
    </font>
    <font>
      <sz val="8"/>
      <color indexed="81"/>
      <name val="Tahoma"/>
    </font>
    <font>
      <b/>
      <sz val="8"/>
      <color indexed="81"/>
      <name val="Tahoma"/>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41"/>
        <bgColor indexed="64"/>
      </patternFill>
    </fill>
    <fill>
      <patternFill patternType="solid">
        <fgColor indexed="10"/>
        <bgColor indexed="64"/>
      </patternFill>
    </fill>
    <fill>
      <patternFill patternType="solid">
        <fgColor indexed="57"/>
        <bgColor indexed="64"/>
      </patternFill>
    </fill>
    <fill>
      <patternFill patternType="solid">
        <fgColor indexed="55"/>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0" fillId="0" borderId="0" xfId="0" applyAlignment="1">
      <alignment vertical="center"/>
    </xf>
    <xf numFmtId="0" fontId="0" fillId="2" borderId="0" xfId="0" applyFill="1" applyAlignment="1">
      <alignment vertical="center"/>
    </xf>
    <xf numFmtId="2" fontId="0" fillId="0" borderId="0" xfId="0" applyNumberFormat="1" applyAlignment="1"/>
    <xf numFmtId="0" fontId="0" fillId="0" borderId="0" xfId="0" applyAlignment="1">
      <alignment wrapText="1"/>
    </xf>
    <xf numFmtId="0" fontId="0" fillId="2" borderId="0" xfId="0" applyFill="1"/>
    <xf numFmtId="0" fontId="0" fillId="3" borderId="0" xfId="0" applyFill="1"/>
    <xf numFmtId="2" fontId="0" fillId="2" borderId="0" xfId="0" applyNumberFormat="1" applyFill="1" applyAlignment="1"/>
    <xf numFmtId="0" fontId="0" fillId="3" borderId="0" xfId="0" applyFill="1" applyAlignment="1">
      <alignment vertical="center"/>
    </xf>
    <xf numFmtId="0" fontId="0" fillId="4" borderId="0" xfId="0" applyFill="1"/>
    <xf numFmtId="0" fontId="0" fillId="0" borderId="0" xfId="0" applyFill="1"/>
    <xf numFmtId="2" fontId="0" fillId="0" borderId="0" xfId="0" applyNumberFormat="1" applyAlignment="1">
      <alignment horizontal="center"/>
    </xf>
    <xf numFmtId="0" fontId="0" fillId="5" borderId="0" xfId="0" applyFill="1"/>
    <xf numFmtId="164" fontId="0" fillId="0" borderId="0" xfId="0" applyNumberFormat="1" applyAlignment="1">
      <alignment horizontal="right"/>
    </xf>
    <xf numFmtId="164" fontId="0" fillId="0" borderId="0" xfId="0" applyNumberFormat="1" applyFill="1" applyAlignment="1">
      <alignment horizontal="right"/>
    </xf>
    <xf numFmtId="164" fontId="0" fillId="0" borderId="0" xfId="0" applyNumberFormat="1"/>
    <xf numFmtId="164" fontId="0" fillId="2" borderId="0" xfId="0" applyNumberFormat="1" applyFill="1" applyAlignment="1">
      <alignment horizontal="right"/>
    </xf>
    <xf numFmtId="164" fontId="0" fillId="0" borderId="0" xfId="0" applyNumberFormat="1" applyAlignment="1">
      <alignment horizontal="center"/>
    </xf>
    <xf numFmtId="42" fontId="0" fillId="0" borderId="0" xfId="1" applyNumberFormat="1" applyFont="1" applyAlignment="1"/>
    <xf numFmtId="42" fontId="0" fillId="2" borderId="0" xfId="1" applyNumberFormat="1" applyFont="1" applyFill="1" applyAlignment="1"/>
    <xf numFmtId="42" fontId="0" fillId="0" borderId="0" xfId="1" applyNumberFormat="1" applyFont="1" applyFill="1" applyAlignment="1">
      <alignment horizontal="center"/>
    </xf>
    <xf numFmtId="164" fontId="0" fillId="2" borderId="0" xfId="0" applyNumberFormat="1" applyFill="1"/>
    <xf numFmtId="0" fontId="0" fillId="6" borderId="0" xfId="0" applyFill="1"/>
    <xf numFmtId="164" fontId="0" fillId="0" borderId="0" xfId="0" applyNumberFormat="1" applyFill="1"/>
    <xf numFmtId="0" fontId="3" fillId="0" borderId="0" xfId="0" applyFont="1"/>
    <xf numFmtId="0" fontId="3" fillId="0" borderId="0" xfId="0" applyFont="1" applyAlignment="1">
      <alignment horizontal="center" textRotation="90" wrapText="1"/>
    </xf>
    <xf numFmtId="0" fontId="3" fillId="7" borderId="0" xfId="0" applyFont="1" applyFill="1" applyAlignment="1">
      <alignment horizontal="center" textRotation="90" wrapText="1"/>
    </xf>
    <xf numFmtId="0" fontId="3" fillId="0" borderId="0" xfId="0" applyFont="1" applyFill="1" applyAlignment="1">
      <alignment horizontal="center" textRotation="90" wrapText="1"/>
    </xf>
    <xf numFmtId="2" fontId="0" fillId="0" borderId="0" xfId="0" applyNumberFormat="1" applyFill="1" applyAlignment="1"/>
    <xf numFmtId="0" fontId="3" fillId="0" borderId="0" xfId="0" applyFont="1" applyAlignment="1">
      <alignment horizontal="left" textRotation="90" wrapText="1"/>
    </xf>
    <xf numFmtId="0" fontId="0" fillId="6" borderId="0" xfId="0" applyFill="1" applyAlignment="1">
      <alignment wrapText="1"/>
    </xf>
    <xf numFmtId="0" fontId="0" fillId="0" borderId="0" xfId="0" applyFill="1" applyAlignment="1">
      <alignment wrapText="1"/>
    </xf>
    <xf numFmtId="0" fontId="0" fillId="2" borderId="0" xfId="0" applyFill="1" applyAlignment="1">
      <alignment wrapText="1"/>
    </xf>
    <xf numFmtId="0" fontId="0" fillId="0" borderId="0" xfId="0" applyFill="1" applyAlignment="1">
      <alignment horizontal="center"/>
    </xf>
    <xf numFmtId="0" fontId="0" fillId="2" borderId="0" xfId="0" applyFill="1" applyAlignment="1">
      <alignment horizontal="left" vertical="top" wrapText="1"/>
    </xf>
    <xf numFmtId="0" fontId="0" fillId="8" borderId="0" xfId="0" applyFill="1"/>
    <xf numFmtId="6" fontId="0" fillId="2" borderId="0" xfId="0" applyNumberFormat="1" applyFill="1"/>
    <xf numFmtId="164" fontId="0" fillId="0" borderId="0" xfId="0" applyNumberFormat="1" applyAlignment="1"/>
    <xf numFmtId="164" fontId="0" fillId="0" borderId="0" xfId="0" applyNumberFormat="1" applyFill="1" applyAlignment="1"/>
    <xf numFmtId="1" fontId="0" fillId="0" borderId="0" xfId="0" applyNumberFormat="1" applyAlignment="1">
      <alignment horizontal="right"/>
    </xf>
    <xf numFmtId="168" fontId="0" fillId="0" borderId="0" xfId="0" applyNumberFormat="1" applyAlignment="1">
      <alignment horizontal="right"/>
    </xf>
    <xf numFmtId="1" fontId="0" fillId="0" borderId="0" xfId="0" applyNumberFormat="1" applyFill="1" applyAlignment="1">
      <alignment horizontal="right"/>
    </xf>
    <xf numFmtId="1" fontId="0" fillId="2" borderId="0" xfId="0" applyNumberFormat="1" applyFill="1" applyAlignment="1">
      <alignment horizontal="right"/>
    </xf>
    <xf numFmtId="1" fontId="0" fillId="0" borderId="0" xfId="0" applyNumberFormat="1"/>
    <xf numFmtId="1" fontId="0" fillId="2" borderId="0" xfId="0" applyNumberFormat="1" applyFill="1"/>
    <xf numFmtId="1" fontId="0" fillId="0" borderId="0" xfId="0" applyNumberFormat="1" applyFill="1"/>
    <xf numFmtId="1" fontId="0" fillId="0" borderId="0" xfId="0" applyNumberFormat="1" applyAlignment="1">
      <alignment horizontal="center"/>
    </xf>
    <xf numFmtId="168" fontId="0" fillId="2" borderId="0" xfId="0" applyNumberFormat="1" applyFill="1" applyAlignment="1">
      <alignment horizontal="right"/>
    </xf>
    <xf numFmtId="164" fontId="0" fillId="2" borderId="0" xfId="0" applyNumberFormat="1" applyFill="1" applyAlignment="1"/>
    <xf numFmtId="2" fontId="0" fillId="5" borderId="0" xfId="0" applyNumberFormat="1" applyFill="1" applyAlignment="1"/>
    <xf numFmtId="42" fontId="0" fillId="0" borderId="0" xfId="1" applyNumberFormat="1" applyFont="1" applyFill="1" applyAlignment="1"/>
    <xf numFmtId="0" fontId="0" fillId="9" borderId="0" xfId="0" applyFill="1"/>
    <xf numFmtId="0" fontId="0" fillId="10" borderId="0" xfId="0" applyFill="1"/>
    <xf numFmtId="0" fontId="0" fillId="11" borderId="0" xfId="0" applyFill="1"/>
    <xf numFmtId="0" fontId="0" fillId="0" borderId="0" xfId="0" applyNumberFormat="1" applyFill="1"/>
    <xf numFmtId="42" fontId="0" fillId="6" borderId="0" xfId="1" applyNumberFormat="1" applyFont="1" applyFill="1" applyAlignment="1"/>
    <xf numFmtId="164" fontId="0" fillId="0" borderId="0" xfId="0" applyNumberFormat="1" applyFill="1" applyAlignment="1">
      <alignment horizontal="center"/>
    </xf>
    <xf numFmtId="0" fontId="0" fillId="0" borderId="0" xfId="0" applyAlignment="1">
      <alignment horizontal="left" vertical="top" wrapText="1"/>
    </xf>
    <xf numFmtId="0" fontId="0" fillId="0" borderId="0" xfId="0" applyAlignment="1">
      <alignment horizontal="center"/>
    </xf>
    <xf numFmtId="0" fontId="0" fillId="2" borderId="0" xfId="0" applyFill="1" applyAlignment="1">
      <alignment horizontal="left"/>
    </xf>
    <xf numFmtId="0" fontId="0" fillId="7" borderId="0" xfId="0" applyFill="1" applyAlignment="1">
      <alignment horizontal="left" wrapText="1"/>
    </xf>
    <xf numFmtId="0" fontId="0" fillId="0" borderId="0" xfId="0" applyFill="1" applyAlignment="1">
      <alignment horizontal="left" wrapText="1"/>
    </xf>
    <xf numFmtId="0" fontId="0" fillId="0" borderId="0" xfId="0" applyFill="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3" borderId="0" xfId="0" applyFill="1" applyAlignment="1">
      <alignment horizontal="left"/>
    </xf>
    <xf numFmtId="0" fontId="0" fillId="4" borderId="0" xfId="0" applyFill="1" applyAlignment="1">
      <alignment horizontal="left"/>
    </xf>
    <xf numFmtId="0" fontId="0" fillId="5" borderId="0" xfId="0" applyFill="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EC04-EDA9-415D-BB0A-66CB98EF910F}">
  <sheetPr>
    <pageSetUpPr fitToPage="1"/>
  </sheetPr>
  <dimension ref="A1:AO128"/>
  <sheetViews>
    <sheetView tabSelected="1" zoomScale="95" workbookViewId="0">
      <pane ySplit="1" topLeftCell="A2" activePane="bottomLeft" state="frozenSplit"/>
      <selection pane="bottomLeft" activeCell="A2" sqref="A2:A4"/>
    </sheetView>
  </sheetViews>
  <sheetFormatPr defaultRowHeight="12.5" x14ac:dyDescent="0.25"/>
  <cols>
    <col min="1" max="1" width="11.81640625" customWidth="1"/>
    <col min="2" max="2" width="9.26953125" bestFit="1" customWidth="1"/>
    <col min="3" max="3" width="6.1796875" bestFit="1" customWidth="1"/>
    <col min="4" max="4" width="6.26953125" customWidth="1"/>
    <col min="5" max="5" width="6.453125" customWidth="1"/>
    <col min="6" max="6" width="5" customWidth="1"/>
    <col min="7" max="7" width="6.26953125" customWidth="1"/>
    <col min="8" max="8" width="6.1796875" customWidth="1"/>
    <col min="9" max="9" width="6.7265625" customWidth="1"/>
    <col min="10" max="10" width="32.54296875" customWidth="1"/>
    <col min="11" max="11" width="6.1796875" bestFit="1" customWidth="1"/>
    <col min="12" max="12" width="7.453125" bestFit="1" customWidth="1"/>
    <col min="13" max="13" width="6.26953125" bestFit="1" customWidth="1"/>
    <col min="14" max="14" width="6.7265625" bestFit="1" customWidth="1"/>
    <col min="15" max="15" width="6.1796875" bestFit="1" customWidth="1"/>
    <col min="16" max="16" width="6" customWidth="1"/>
    <col min="17" max="17" width="7" bestFit="1" customWidth="1"/>
    <col min="18" max="18" width="5" customWidth="1"/>
    <col min="19" max="19" width="6.7265625" customWidth="1"/>
    <col min="20" max="21" width="3.453125" bestFit="1" customWidth="1"/>
    <col min="22" max="22" width="3.26953125" customWidth="1"/>
    <col min="23" max="36" width="2.26953125" customWidth="1"/>
    <col min="37" max="37" width="5.81640625" bestFit="1" customWidth="1"/>
    <col min="38" max="38" width="5.453125" bestFit="1" customWidth="1"/>
    <col min="39" max="39" width="8" bestFit="1" customWidth="1"/>
    <col min="40" max="40" width="8.453125" customWidth="1"/>
    <col min="41" max="41" width="5.81640625" bestFit="1" customWidth="1"/>
  </cols>
  <sheetData>
    <row r="1" spans="1:41" ht="78" customHeight="1" x14ac:dyDescent="0.25">
      <c r="A1" s="25" t="s">
        <v>5</v>
      </c>
      <c r="B1" s="25" t="s">
        <v>25</v>
      </c>
      <c r="C1" s="25" t="s">
        <v>26</v>
      </c>
      <c r="D1" s="25" t="s">
        <v>1</v>
      </c>
      <c r="E1" s="25" t="s">
        <v>2</v>
      </c>
      <c r="F1" s="25" t="s">
        <v>0</v>
      </c>
      <c r="G1" s="25" t="s">
        <v>3</v>
      </c>
      <c r="H1" s="25" t="s">
        <v>8</v>
      </c>
      <c r="I1" s="25" t="s">
        <v>24</v>
      </c>
      <c r="J1" s="25" t="s">
        <v>6</v>
      </c>
      <c r="K1" s="25" t="s">
        <v>4</v>
      </c>
      <c r="L1" s="25" t="s">
        <v>83</v>
      </c>
      <c r="M1" s="25" t="s">
        <v>84</v>
      </c>
      <c r="N1" s="25" t="s">
        <v>115</v>
      </c>
      <c r="O1" s="26" t="s">
        <v>116</v>
      </c>
      <c r="P1" s="26" t="s">
        <v>117</v>
      </c>
      <c r="Q1" s="27" t="s">
        <v>27</v>
      </c>
      <c r="R1" s="25" t="s">
        <v>91</v>
      </c>
      <c r="S1" s="25" t="s">
        <v>93</v>
      </c>
      <c r="T1" s="25" t="s">
        <v>68</v>
      </c>
      <c r="U1" s="25" t="s">
        <v>69</v>
      </c>
      <c r="V1" s="25" t="s">
        <v>122</v>
      </c>
      <c r="W1" s="25" t="s">
        <v>127</v>
      </c>
      <c r="X1" s="25" t="s">
        <v>70</v>
      </c>
      <c r="Y1" s="25" t="s">
        <v>67</v>
      </c>
      <c r="Z1" s="25" t="s">
        <v>86</v>
      </c>
      <c r="AA1" s="25" t="s">
        <v>71</v>
      </c>
      <c r="AB1" s="29" t="s">
        <v>98</v>
      </c>
      <c r="AC1" s="29" t="s">
        <v>72</v>
      </c>
      <c r="AD1" s="25" t="s">
        <v>73</v>
      </c>
      <c r="AE1" s="25" t="s">
        <v>74</v>
      </c>
      <c r="AF1" s="25" t="s">
        <v>75</v>
      </c>
      <c r="AG1" s="25" t="s">
        <v>76</v>
      </c>
      <c r="AH1" s="25" t="s">
        <v>77</v>
      </c>
      <c r="AI1" s="25" t="s">
        <v>78</v>
      </c>
      <c r="AJ1" s="25" t="s">
        <v>79</v>
      </c>
      <c r="AK1" s="27" t="s">
        <v>43</v>
      </c>
      <c r="AL1" s="27" t="s">
        <v>101</v>
      </c>
      <c r="AM1" s="27" t="s">
        <v>102</v>
      </c>
      <c r="AN1" s="27" t="s">
        <v>44</v>
      </c>
      <c r="AO1" s="27" t="s">
        <v>131</v>
      </c>
    </row>
    <row r="2" spans="1:41" ht="12.75" customHeight="1" x14ac:dyDescent="0.25">
      <c r="A2" s="57" t="s">
        <v>63</v>
      </c>
      <c r="B2" t="e">
        <f>NA()</f>
        <v>#N/A</v>
      </c>
      <c r="C2" t="e">
        <f>NA()</f>
        <v>#N/A</v>
      </c>
      <c r="D2" s="1">
        <v>36</v>
      </c>
      <c r="E2" s="1">
        <v>24</v>
      </c>
      <c r="F2" s="1">
        <f>+D2/E2</f>
        <v>1.5</v>
      </c>
      <c r="G2" s="1">
        <f>+SQRT(D2^2+E2^2)</f>
        <v>43.266615305567875</v>
      </c>
      <c r="H2" s="1">
        <f>+D2*E2</f>
        <v>864</v>
      </c>
      <c r="I2" s="1" t="e">
        <f>NA()</f>
        <v>#N/A</v>
      </c>
      <c r="J2" t="s">
        <v>32</v>
      </c>
      <c r="K2">
        <f>+K11</f>
        <v>14</v>
      </c>
      <c r="L2" s="3">
        <f t="shared" ref="L2:L10" si="0">DEGREES(2*ATAN(D$2/2/$K2))</f>
        <v>104.2500326978036</v>
      </c>
      <c r="M2" s="3">
        <f t="shared" ref="M2:M10" si="1">DEGREES(2*ATAN(E$2/2/$K2))</f>
        <v>81.202589290008945</v>
      </c>
      <c r="N2" s="3">
        <f>DEGREES(2*ATAN(SQRT(TAN(RADIANS(L2)/2)^2+TAN(RADIANS(M2)/2)^2)))</f>
        <v>114.1821313666325</v>
      </c>
      <c r="O2" s="3">
        <f t="shared" ref="O2:O13" si="2">+SQRT(L$5*M$5/(L2*M2))</f>
        <v>0.35532476043521621</v>
      </c>
      <c r="P2" s="3">
        <f t="shared" ref="P2:P11" si="3">+N$5/N2</f>
        <v>0.40981021096651127</v>
      </c>
      <c r="Q2" s="3" t="e">
        <f>NA()</f>
        <v>#N/A</v>
      </c>
      <c r="R2" s="3"/>
      <c r="S2" s="3"/>
      <c r="T2" s="58" t="e">
        <f>NA()</f>
        <v>#N/A</v>
      </c>
      <c r="U2" s="58"/>
      <c r="V2" s="58"/>
      <c r="W2" s="58"/>
      <c r="X2" s="58"/>
      <c r="Y2" s="58"/>
      <c r="Z2" s="58"/>
      <c r="AA2" s="58"/>
      <c r="AB2" s="58"/>
      <c r="AC2" s="58"/>
      <c r="AD2" s="58"/>
      <c r="AE2" s="58"/>
      <c r="AF2" s="58"/>
      <c r="AG2" s="58"/>
      <c r="AH2" s="58"/>
      <c r="AI2" s="58"/>
      <c r="AJ2" s="58"/>
      <c r="AK2" s="58"/>
      <c r="AL2" s="58"/>
      <c r="AM2" s="58"/>
      <c r="AN2" s="58"/>
    </row>
    <row r="3" spans="1:41" x14ac:dyDescent="0.25">
      <c r="A3" s="57"/>
      <c r="B3" s="5"/>
      <c r="C3" s="5"/>
      <c r="D3" s="2"/>
      <c r="E3" s="2"/>
      <c r="F3" s="2"/>
      <c r="G3" s="2"/>
      <c r="H3" s="2"/>
      <c r="I3" s="2"/>
      <c r="J3" s="5"/>
      <c r="K3">
        <v>20</v>
      </c>
      <c r="L3" s="3">
        <f t="shared" si="0"/>
        <v>83.974424991633313</v>
      </c>
      <c r="M3" s="3">
        <f t="shared" si="1"/>
        <v>61.927513064147043</v>
      </c>
      <c r="N3" s="3">
        <f t="shared" ref="N3:N13" si="4">DEGREES(2*ATAN(SQRT(TAN(RADIANS(L3)/2)^2+TAN(RADIANS(M3)/2)^2)))</f>
        <v>94.493213516377637</v>
      </c>
      <c r="O3" s="3">
        <f t="shared" si="2"/>
        <v>0.45334953177986098</v>
      </c>
      <c r="P3" s="3">
        <f t="shared" si="3"/>
        <v>0.49519961913302241</v>
      </c>
      <c r="Q3" s="7"/>
      <c r="R3" s="7"/>
      <c r="S3" s="7"/>
      <c r="T3" s="5"/>
      <c r="U3" s="5"/>
      <c r="V3" s="5"/>
      <c r="W3" s="5"/>
      <c r="X3" s="5"/>
      <c r="Y3" s="5"/>
      <c r="Z3" s="5"/>
      <c r="AA3" s="5"/>
      <c r="AB3" s="5"/>
      <c r="AC3" s="5"/>
      <c r="AD3" s="5"/>
      <c r="AE3" s="5"/>
      <c r="AF3" s="5"/>
      <c r="AG3" s="5"/>
      <c r="AH3" s="5"/>
      <c r="AI3" s="5"/>
      <c r="AJ3" s="5"/>
      <c r="AK3" s="5"/>
      <c r="AL3" s="5"/>
      <c r="AM3" s="5"/>
      <c r="AN3" s="19"/>
    </row>
    <row r="4" spans="1:41" x14ac:dyDescent="0.25">
      <c r="A4" s="57"/>
      <c r="B4" s="5"/>
      <c r="C4" s="5"/>
      <c r="D4" s="2"/>
      <c r="E4" s="2"/>
      <c r="F4" s="2"/>
      <c r="G4" s="2"/>
      <c r="H4" s="2"/>
      <c r="I4" s="2"/>
      <c r="J4" t="s">
        <v>28</v>
      </c>
      <c r="K4">
        <v>35</v>
      </c>
      <c r="L4" s="3">
        <f t="shared" si="0"/>
        <v>54.432223114614949</v>
      </c>
      <c r="M4" s="3">
        <f t="shared" si="1"/>
        <v>37.849288832102467</v>
      </c>
      <c r="N4" s="3">
        <f t="shared" si="4"/>
        <v>63.439966595414575</v>
      </c>
      <c r="O4" s="3">
        <f t="shared" si="2"/>
        <v>0.72026384115131403</v>
      </c>
      <c r="P4" s="3">
        <f t="shared" si="3"/>
        <v>0.73759501864787802</v>
      </c>
      <c r="Q4" s="7"/>
      <c r="R4" s="7"/>
      <c r="S4" s="7"/>
      <c r="T4" s="5"/>
      <c r="U4" s="5"/>
      <c r="V4" s="5"/>
      <c r="W4" s="5"/>
      <c r="X4" s="5"/>
      <c r="Y4" s="5"/>
      <c r="Z4" s="5"/>
      <c r="AA4" s="5"/>
      <c r="AB4" s="5"/>
      <c r="AC4" s="5"/>
      <c r="AD4" s="5"/>
      <c r="AE4" s="5"/>
      <c r="AF4" s="5"/>
      <c r="AG4" s="5"/>
      <c r="AH4" s="5"/>
      <c r="AI4" s="5"/>
      <c r="AJ4" s="5"/>
      <c r="AK4" s="5"/>
      <c r="AL4" s="5"/>
      <c r="AM4" s="5"/>
      <c r="AN4" s="19"/>
    </row>
    <row r="5" spans="1:41" x14ac:dyDescent="0.25">
      <c r="A5" s="34"/>
      <c r="B5" s="5"/>
      <c r="C5" s="5"/>
      <c r="D5" s="2"/>
      <c r="E5" s="2"/>
      <c r="F5" s="2"/>
      <c r="G5" s="2"/>
      <c r="H5" s="2"/>
      <c r="I5" s="2"/>
      <c r="J5" s="12" t="s">
        <v>31</v>
      </c>
      <c r="K5" s="12">
        <v>50</v>
      </c>
      <c r="L5" s="49">
        <f t="shared" si="0"/>
        <v>39.597752709049864</v>
      </c>
      <c r="M5" s="49">
        <f t="shared" si="1"/>
        <v>26.991466561591622</v>
      </c>
      <c r="N5" s="49">
        <f t="shared" si="4"/>
        <v>46.793003343965573</v>
      </c>
      <c r="O5" s="49">
        <f t="shared" si="2"/>
        <v>1</v>
      </c>
      <c r="P5" s="49">
        <f t="shared" si="3"/>
        <v>1</v>
      </c>
      <c r="Q5" s="7"/>
      <c r="R5" s="7"/>
      <c r="S5" s="7"/>
      <c r="T5" s="5"/>
      <c r="U5" s="5"/>
      <c r="V5" s="5"/>
      <c r="W5" s="5"/>
      <c r="X5" s="5"/>
      <c r="Y5" s="5"/>
      <c r="Z5" s="5"/>
      <c r="AA5" s="5"/>
      <c r="AB5" s="5"/>
      <c r="AC5" s="5"/>
      <c r="AD5" s="5"/>
      <c r="AE5" s="5"/>
      <c r="AF5" s="5"/>
      <c r="AG5" s="5"/>
      <c r="AH5" s="5"/>
      <c r="AI5" s="5"/>
      <c r="AJ5" s="5"/>
      <c r="AK5" s="5"/>
      <c r="AL5" s="5"/>
      <c r="AM5" s="5"/>
      <c r="AN5" s="19"/>
    </row>
    <row r="6" spans="1:41" x14ac:dyDescent="0.25">
      <c r="A6" s="5"/>
      <c r="B6" s="5"/>
      <c r="C6" s="5"/>
      <c r="D6" s="2"/>
      <c r="E6" s="2"/>
      <c r="F6" s="2"/>
      <c r="G6" s="2"/>
      <c r="H6" s="2"/>
      <c r="I6" s="2"/>
      <c r="J6" t="s">
        <v>33</v>
      </c>
      <c r="K6">
        <v>85</v>
      </c>
      <c r="L6" s="3">
        <f t="shared" si="0"/>
        <v>23.913168486298265</v>
      </c>
      <c r="M6" s="3">
        <f t="shared" si="1"/>
        <v>16.071421421069587</v>
      </c>
      <c r="N6" s="3">
        <f t="shared" si="4"/>
        <v>28.558322254779938</v>
      </c>
      <c r="O6" s="3">
        <f t="shared" si="2"/>
        <v>1.6676419223515524</v>
      </c>
      <c r="P6" s="3">
        <f t="shared" si="3"/>
        <v>1.6385067346221156</v>
      </c>
      <c r="Q6" s="7"/>
      <c r="R6" s="7"/>
      <c r="S6" s="7"/>
      <c r="T6" s="32"/>
      <c r="U6" s="32"/>
      <c r="V6" s="32"/>
      <c r="W6" s="32"/>
      <c r="X6" s="32"/>
      <c r="Y6" s="32"/>
      <c r="Z6" s="32"/>
      <c r="AA6" s="32"/>
      <c r="AB6" s="32"/>
      <c r="AC6" s="32"/>
      <c r="AD6" s="32"/>
      <c r="AE6" s="32"/>
      <c r="AF6" s="32"/>
      <c r="AG6" s="32"/>
      <c r="AH6" s="32"/>
      <c r="AI6" s="32"/>
      <c r="AJ6" s="32"/>
      <c r="AK6" s="5"/>
      <c r="AL6" s="5"/>
      <c r="AM6" s="5"/>
      <c r="AN6" s="19"/>
    </row>
    <row r="7" spans="1:41" x14ac:dyDescent="0.25">
      <c r="A7" s="5"/>
      <c r="B7" s="5"/>
      <c r="C7" s="5"/>
      <c r="D7" s="2"/>
      <c r="E7" s="2"/>
      <c r="F7" s="2"/>
      <c r="G7" s="2"/>
      <c r="H7" s="2"/>
      <c r="I7" s="2"/>
      <c r="J7" t="s">
        <v>29</v>
      </c>
      <c r="K7">
        <v>135</v>
      </c>
      <c r="L7" s="3">
        <f t="shared" si="0"/>
        <v>15.18928673718289</v>
      </c>
      <c r="M7" s="3">
        <f t="shared" si="1"/>
        <v>10.159215720029142</v>
      </c>
      <c r="N7" s="3">
        <f t="shared" si="4"/>
        <v>18.208119486202371</v>
      </c>
      <c r="O7" s="3">
        <f t="shared" si="2"/>
        <v>2.6317808912241056</v>
      </c>
      <c r="P7" s="3">
        <f t="shared" si="3"/>
        <v>2.5698976426107083</v>
      </c>
      <c r="Q7" s="7"/>
      <c r="R7" s="7"/>
      <c r="S7" s="7"/>
      <c r="T7" s="5"/>
      <c r="U7" s="5"/>
      <c r="V7" s="5"/>
      <c r="W7" s="5"/>
      <c r="X7" s="5"/>
      <c r="Y7" s="5"/>
      <c r="Z7" s="5"/>
      <c r="AA7" s="5"/>
      <c r="AB7" s="5"/>
      <c r="AC7" s="5"/>
      <c r="AD7" s="5"/>
      <c r="AE7" s="5"/>
      <c r="AF7" s="5"/>
      <c r="AG7" s="5"/>
      <c r="AH7" s="5"/>
      <c r="AI7" s="5"/>
      <c r="AJ7" s="5"/>
      <c r="AK7" s="5"/>
      <c r="AL7" s="5"/>
      <c r="AM7" s="5"/>
      <c r="AN7" s="19"/>
    </row>
    <row r="8" spans="1:41" x14ac:dyDescent="0.25">
      <c r="A8" s="5"/>
      <c r="B8" s="5"/>
      <c r="C8" s="5"/>
      <c r="D8" s="2"/>
      <c r="E8" s="2"/>
      <c r="F8" s="2"/>
      <c r="G8" s="2"/>
      <c r="H8" s="2"/>
      <c r="I8" s="2"/>
      <c r="J8" s="5"/>
      <c r="K8">
        <v>200</v>
      </c>
      <c r="L8" s="3">
        <f t="shared" si="0"/>
        <v>10.285529115768483</v>
      </c>
      <c r="M8" s="3">
        <f t="shared" si="1"/>
        <v>6.867260724901044</v>
      </c>
      <c r="N8" s="3">
        <f t="shared" si="4"/>
        <v>12.346968401455365</v>
      </c>
      <c r="O8" s="3">
        <f t="shared" si="2"/>
        <v>3.8899446661296144</v>
      </c>
      <c r="P8" s="3">
        <f t="shared" si="3"/>
        <v>3.7898374582743708</v>
      </c>
      <c r="Q8" s="7"/>
      <c r="R8" s="7"/>
      <c r="S8" s="7"/>
      <c r="T8" s="5"/>
      <c r="U8" s="5"/>
      <c r="V8" s="5"/>
      <c r="W8" s="5"/>
      <c r="X8" s="5"/>
      <c r="Y8" s="5"/>
      <c r="Z8" s="5"/>
      <c r="AA8" s="5"/>
      <c r="AB8" s="5"/>
      <c r="AC8" s="5"/>
      <c r="AD8" s="5"/>
      <c r="AE8" s="5"/>
      <c r="AF8" s="5"/>
      <c r="AG8" s="5"/>
      <c r="AH8" s="5"/>
      <c r="AI8" s="5"/>
      <c r="AJ8" s="5"/>
      <c r="AK8" s="5"/>
      <c r="AL8" s="5"/>
      <c r="AM8" s="5"/>
      <c r="AN8" s="19"/>
    </row>
    <row r="9" spans="1:41" x14ac:dyDescent="0.25">
      <c r="A9" s="5"/>
      <c r="B9" s="5"/>
      <c r="C9" s="5"/>
      <c r="D9" s="2"/>
      <c r="E9" s="2"/>
      <c r="F9" s="2"/>
      <c r="G9" s="2"/>
      <c r="H9" s="2"/>
      <c r="I9" s="2"/>
      <c r="J9" t="s">
        <v>30</v>
      </c>
      <c r="K9">
        <v>400</v>
      </c>
      <c r="L9" s="3">
        <f t="shared" si="0"/>
        <v>5.153143660537661</v>
      </c>
      <c r="M9" s="3">
        <f t="shared" si="1"/>
        <v>3.4367160033109143</v>
      </c>
      <c r="N9" s="3">
        <f t="shared" si="4"/>
        <v>6.1914541606565789</v>
      </c>
      <c r="O9" s="3">
        <f t="shared" si="2"/>
        <v>7.7685606930797499</v>
      </c>
      <c r="P9" s="3">
        <f t="shared" si="3"/>
        <v>7.5576758108475381</v>
      </c>
      <c r="Q9" s="7"/>
      <c r="R9" s="7"/>
      <c r="S9" s="7"/>
      <c r="T9" s="5"/>
      <c r="U9" s="5"/>
      <c r="V9" s="5"/>
      <c r="W9" s="5"/>
      <c r="X9" s="5"/>
      <c r="Y9" s="5"/>
      <c r="Z9" s="5"/>
      <c r="AA9" s="5"/>
      <c r="AB9" s="5"/>
      <c r="AC9" s="5"/>
      <c r="AD9" s="5"/>
      <c r="AE9" s="5"/>
      <c r="AF9" s="5"/>
      <c r="AG9" s="5"/>
      <c r="AH9" s="5"/>
      <c r="AI9" s="5"/>
      <c r="AJ9" s="5"/>
      <c r="AK9" s="5"/>
      <c r="AL9" s="5"/>
      <c r="AM9" s="5"/>
      <c r="AN9" s="19"/>
    </row>
    <row r="10" spans="1:41" x14ac:dyDescent="0.25">
      <c r="A10" s="5"/>
      <c r="B10" s="5"/>
      <c r="C10" s="5"/>
      <c r="D10" s="2"/>
      <c r="E10" s="2"/>
      <c r="F10" s="2"/>
      <c r="G10" s="2"/>
      <c r="H10" s="2"/>
      <c r="I10" s="2"/>
      <c r="J10" t="s">
        <v>62</v>
      </c>
      <c r="K10">
        <v>1200</v>
      </c>
      <c r="L10" s="3">
        <f t="shared" si="0"/>
        <v>1.7187444872893616</v>
      </c>
      <c r="M10" s="3">
        <f t="shared" si="1"/>
        <v>1.1458773953669719</v>
      </c>
      <c r="N10" s="3">
        <f t="shared" si="4"/>
        <v>2.065604954541334</v>
      </c>
      <c r="O10" s="3">
        <f t="shared" si="2"/>
        <v>23.295593288804486</v>
      </c>
      <c r="P10" s="3">
        <f t="shared" si="3"/>
        <v>22.653413587670215</v>
      </c>
      <c r="Q10" s="7"/>
      <c r="R10" s="7"/>
      <c r="S10" s="7"/>
      <c r="T10" s="5"/>
      <c r="U10" s="5"/>
      <c r="V10" s="5"/>
      <c r="W10" s="5"/>
      <c r="X10" s="5"/>
      <c r="Y10" s="5"/>
      <c r="Z10" s="5"/>
      <c r="AA10" s="5"/>
      <c r="AB10" s="5"/>
      <c r="AC10" s="5"/>
      <c r="AD10" s="5"/>
      <c r="AE10" s="5"/>
      <c r="AF10" s="5"/>
      <c r="AG10" s="5"/>
      <c r="AH10" s="5"/>
      <c r="AI10" s="5"/>
      <c r="AJ10" s="5"/>
      <c r="AK10" s="5"/>
      <c r="AL10" s="5"/>
      <c r="AM10" s="5"/>
      <c r="AN10" s="19"/>
    </row>
    <row r="11" spans="1:41" ht="12.75" customHeight="1" x14ac:dyDescent="0.25">
      <c r="A11" s="57" t="s">
        <v>111</v>
      </c>
      <c r="B11">
        <v>3072</v>
      </c>
      <c r="C11">
        <v>2048</v>
      </c>
      <c r="D11">
        <f>+SQRT(H11*F11)</f>
        <v>22.674986218297907</v>
      </c>
      <c r="E11">
        <f>+D11/F11</f>
        <v>15.116657478865271</v>
      </c>
      <c r="F11">
        <f>+B11/C11</f>
        <v>1.5</v>
      </c>
      <c r="G11" s="1">
        <f>+SQRT(D11^2+E11^2)</f>
        <v>27.251941826837466</v>
      </c>
      <c r="H11" s="6">
        <v>342.77</v>
      </c>
      <c r="I11" s="1">
        <f>+B11/D11</f>
        <v>135.47968543067978</v>
      </c>
      <c r="J11" t="s">
        <v>37</v>
      </c>
      <c r="K11">
        <v>14</v>
      </c>
      <c r="L11" s="3">
        <f>DEGREES(2*ATAN(D$11/2/$K11))</f>
        <v>78.002553957613415</v>
      </c>
      <c r="M11" s="3">
        <f>DEGREES(2*ATAN(E$11/2/$K11))</f>
        <v>56.72750096641046</v>
      </c>
      <c r="N11" s="3">
        <f t="shared" si="4"/>
        <v>88.44863524565109</v>
      </c>
      <c r="O11" s="3">
        <f t="shared" si="2"/>
        <v>0.49147029469517634</v>
      </c>
      <c r="P11" s="3">
        <f t="shared" si="3"/>
        <v>0.52904155291945365</v>
      </c>
      <c r="Q11" s="3">
        <f>DEGREES(ATAN(1/(K11*I$11)))*60*60</f>
        <v>108.74840042818103</v>
      </c>
      <c r="R11" s="37">
        <v>2.8</v>
      </c>
      <c r="S11" s="3">
        <f>+K11/R11</f>
        <v>5</v>
      </c>
      <c r="T11">
        <v>14</v>
      </c>
      <c r="U11">
        <v>10</v>
      </c>
      <c r="V11">
        <v>5</v>
      </c>
      <c r="W11" s="51"/>
      <c r="Y11" s="22">
        <v>1</v>
      </c>
      <c r="Z11" s="22">
        <v>1</v>
      </c>
      <c r="AD11" s="30">
        <v>1</v>
      </c>
      <c r="AE11" s="30">
        <v>1</v>
      </c>
      <c r="AF11" s="4"/>
      <c r="AG11" s="4"/>
      <c r="AH11" s="4"/>
      <c r="AI11" s="4"/>
      <c r="AJ11" s="30">
        <v>1</v>
      </c>
      <c r="AK11" s="14">
        <f>1.2*16</f>
        <v>19.2</v>
      </c>
      <c r="AL11" s="14" t="e">
        <f>NA()</f>
        <v>#N/A</v>
      </c>
      <c r="AM11" s="40">
        <v>33573</v>
      </c>
      <c r="AN11" s="18">
        <v>1799.95</v>
      </c>
    </row>
    <row r="12" spans="1:41" x14ac:dyDescent="0.25">
      <c r="A12" s="57"/>
      <c r="B12" s="5"/>
      <c r="C12" s="5"/>
      <c r="D12" s="5"/>
      <c r="E12" s="5"/>
      <c r="F12" s="5"/>
      <c r="G12" s="2"/>
      <c r="H12" s="5"/>
      <c r="I12" s="2"/>
      <c r="J12" s="35" t="s">
        <v>88</v>
      </c>
      <c r="K12" s="5"/>
      <c r="L12" s="7"/>
      <c r="M12" s="7"/>
      <c r="N12" s="7"/>
      <c r="O12" s="7"/>
      <c r="P12" s="7"/>
      <c r="Q12" s="7"/>
      <c r="R12" s="48"/>
      <c r="S12" s="7"/>
      <c r="T12">
        <v>14</v>
      </c>
      <c r="U12">
        <v>10</v>
      </c>
      <c r="V12">
        <v>7</v>
      </c>
      <c r="Y12" s="22" t="s">
        <v>89</v>
      </c>
      <c r="Z12" s="22" t="s">
        <v>89</v>
      </c>
      <c r="AA12" s="10"/>
      <c r="AB12" s="10"/>
      <c r="AC12" s="10"/>
      <c r="AD12" s="31"/>
      <c r="AE12" s="31"/>
      <c r="AF12" s="31"/>
      <c r="AG12" s="31"/>
      <c r="AH12" s="31"/>
      <c r="AI12" s="31"/>
      <c r="AJ12" s="31"/>
      <c r="AK12" s="14">
        <v>23.3</v>
      </c>
      <c r="AL12" s="41"/>
      <c r="AM12" s="40"/>
      <c r="AN12" s="18">
        <v>899</v>
      </c>
      <c r="AO12" s="18"/>
    </row>
    <row r="13" spans="1:41" ht="12.75" customHeight="1" x14ac:dyDescent="0.25">
      <c r="A13" s="57"/>
      <c r="B13" s="5"/>
      <c r="C13" s="5"/>
      <c r="D13" s="5"/>
      <c r="E13" s="5"/>
      <c r="F13" s="5"/>
      <c r="G13" s="5"/>
      <c r="H13" s="5"/>
      <c r="I13" s="5"/>
      <c r="J13" t="s">
        <v>40</v>
      </c>
      <c r="K13">
        <v>15</v>
      </c>
      <c r="L13" s="11" t="e">
        <f>NA()</f>
        <v>#N/A</v>
      </c>
      <c r="M13" s="11" t="e">
        <f>NA()</f>
        <v>#N/A</v>
      </c>
      <c r="N13" s="3" t="e">
        <f t="shared" si="4"/>
        <v>#N/A</v>
      </c>
      <c r="O13" s="3" t="e">
        <f t="shared" si="2"/>
        <v>#N/A</v>
      </c>
      <c r="P13" s="3" t="e">
        <f>+N$5/N13</f>
        <v>#N/A</v>
      </c>
      <c r="Q13" s="11" t="e">
        <f>NA()</f>
        <v>#N/A</v>
      </c>
      <c r="R13" s="37">
        <v>2.8</v>
      </c>
      <c r="S13" s="3">
        <f>+K13/R13</f>
        <v>5.3571428571428577</v>
      </c>
      <c r="T13">
        <v>8</v>
      </c>
      <c r="U13">
        <v>7</v>
      </c>
      <c r="V13">
        <v>5</v>
      </c>
      <c r="AD13" s="30">
        <v>1</v>
      </c>
      <c r="AE13" s="4"/>
      <c r="AF13" s="4"/>
      <c r="AG13" s="4"/>
      <c r="AH13" s="4"/>
      <c r="AI13" s="4"/>
      <c r="AJ13" s="4"/>
      <c r="AK13" s="14">
        <v>11.6</v>
      </c>
      <c r="AL13" s="41" t="e">
        <f>NA()</f>
        <v>#N/A</v>
      </c>
      <c r="AM13" s="40">
        <v>31868</v>
      </c>
      <c r="AN13" s="18">
        <v>579.95000000000005</v>
      </c>
      <c r="AO13" s="18">
        <v>25</v>
      </c>
    </row>
    <row r="14" spans="1:41" x14ac:dyDescent="0.25">
      <c r="A14" s="36"/>
      <c r="B14" s="5"/>
      <c r="C14" s="5"/>
      <c r="D14" s="5"/>
      <c r="E14" s="5"/>
      <c r="F14" s="5"/>
      <c r="G14" s="5"/>
      <c r="H14" s="5"/>
      <c r="I14" s="5"/>
      <c r="J14" t="s">
        <v>14</v>
      </c>
      <c r="K14">
        <f>+K3</f>
        <v>20</v>
      </c>
      <c r="L14" s="3">
        <f>DEGREES(2*ATAN(D$11/2/$K14))</f>
        <v>59.095603602510621</v>
      </c>
      <c r="M14" s="3">
        <f>DEGREES(2*ATAN(E$11/2/$K14))</f>
        <v>41.404805573873354</v>
      </c>
      <c r="N14" s="3">
        <f>DEGREES(2*ATAN(SQRT(TAN(RADIANS(L14)/2)^2+TAN(RADIANS(M14)/2)^2)))</f>
        <v>68.533095005978012</v>
      </c>
      <c r="O14" s="3">
        <f>+SQRT(L$5*M$5/(L14*M14))</f>
        <v>0.66091490987045731</v>
      </c>
      <c r="P14" s="3">
        <f>+N$5/N14</f>
        <v>0.6827796605404135</v>
      </c>
      <c r="Q14" s="3">
        <f>DEGREES(ATAN(1/(K14*I$11)))*60*60</f>
        <v>76.123883896932966</v>
      </c>
      <c r="R14" s="37">
        <v>2.8</v>
      </c>
      <c r="S14" s="3">
        <f>+K14/R14</f>
        <v>7.1428571428571432</v>
      </c>
      <c r="T14">
        <v>11</v>
      </c>
      <c r="U14">
        <v>9</v>
      </c>
      <c r="V14">
        <v>5</v>
      </c>
      <c r="Y14" s="22">
        <v>1</v>
      </c>
      <c r="AD14" s="30">
        <v>1</v>
      </c>
      <c r="AE14" s="30">
        <v>1</v>
      </c>
      <c r="AF14" s="4"/>
      <c r="AG14" s="4"/>
      <c r="AH14" s="4"/>
      <c r="AI14" s="4"/>
      <c r="AJ14" s="30">
        <v>1</v>
      </c>
      <c r="AK14" s="13">
        <v>14.3</v>
      </c>
      <c r="AL14" s="39">
        <v>72</v>
      </c>
      <c r="AM14" s="40">
        <v>33756</v>
      </c>
      <c r="AN14" s="18">
        <v>419.95</v>
      </c>
      <c r="AO14" s="18">
        <v>15</v>
      </c>
    </row>
    <row r="15" spans="1:41" x14ac:dyDescent="0.25">
      <c r="A15" s="36"/>
      <c r="B15" s="5"/>
      <c r="C15" s="5"/>
      <c r="D15" s="5"/>
      <c r="E15" s="5"/>
      <c r="F15" s="5"/>
      <c r="G15" s="5"/>
      <c r="H15" s="5"/>
      <c r="I15" s="5"/>
      <c r="J15" s="35" t="s">
        <v>123</v>
      </c>
      <c r="K15" s="5"/>
      <c r="L15" s="7"/>
      <c r="M15" s="7"/>
      <c r="N15" s="7"/>
      <c r="O15" s="7"/>
      <c r="P15" s="7"/>
      <c r="Q15" s="7"/>
      <c r="R15" s="37">
        <v>1.8</v>
      </c>
      <c r="S15" s="3">
        <f>+K14/R15</f>
        <v>11.111111111111111</v>
      </c>
      <c r="T15">
        <v>13</v>
      </c>
      <c r="U15">
        <v>11</v>
      </c>
      <c r="V15">
        <v>9</v>
      </c>
      <c r="Y15" s="10"/>
      <c r="Z15" s="22">
        <v>2</v>
      </c>
      <c r="AA15" s="10"/>
      <c r="AB15" s="10"/>
      <c r="AC15" s="10"/>
      <c r="AD15" s="30">
        <v>1</v>
      </c>
      <c r="AE15" s="31"/>
      <c r="AF15" s="31"/>
      <c r="AG15" s="31"/>
      <c r="AH15" s="31"/>
      <c r="AI15" s="31"/>
      <c r="AJ15" s="31"/>
      <c r="AK15" s="13">
        <v>18.3</v>
      </c>
      <c r="AL15" s="39">
        <v>82</v>
      </c>
      <c r="AM15" s="40"/>
      <c r="AN15" s="18">
        <v>409</v>
      </c>
      <c r="AO15" s="18"/>
    </row>
    <row r="16" spans="1:41" x14ac:dyDescent="0.25">
      <c r="A16" s="36"/>
      <c r="B16" s="5"/>
      <c r="C16" s="5"/>
      <c r="D16" s="5"/>
      <c r="E16" s="5"/>
      <c r="F16" s="5"/>
      <c r="G16" s="5"/>
      <c r="H16" s="5"/>
      <c r="I16" s="5"/>
      <c r="J16" t="s">
        <v>39</v>
      </c>
      <c r="K16">
        <v>24</v>
      </c>
      <c r="L16" s="3">
        <f>DEGREES(2*ATAN(D$11/2/$K16))</f>
        <v>50.571683422444558</v>
      </c>
      <c r="M16" s="3">
        <f>DEGREES(2*ATAN(E$11/2/$K16))</f>
        <v>34.961595131197811</v>
      </c>
      <c r="N16" s="3">
        <f>DEGREES(2*ATAN(SQRT(TAN(RADIANS(L16)/2)^2+TAN(RADIANS(M16)/2)^2)))</f>
        <v>59.171382835438529</v>
      </c>
      <c r="O16" s="3">
        <f>+SQRT(L$5*M$5/(L16*M16))</f>
        <v>0.77749783036947084</v>
      </c>
      <c r="P16" s="3">
        <f>+N$5/N16</f>
        <v>0.79080462719794031</v>
      </c>
      <c r="Q16" s="3">
        <f>DEGREES(ATAN(1/(K16*I$11)))*60*60</f>
        <v>63.436570794146384</v>
      </c>
      <c r="R16" s="37">
        <v>1.4</v>
      </c>
      <c r="S16" s="3">
        <f>+K16/R16</f>
        <v>17.142857142857142</v>
      </c>
      <c r="T16">
        <v>11</v>
      </c>
      <c r="U16">
        <v>9</v>
      </c>
      <c r="V16">
        <v>7</v>
      </c>
      <c r="W16" s="51"/>
      <c r="Y16" s="22">
        <v>1</v>
      </c>
      <c r="Z16" s="22">
        <v>1</v>
      </c>
      <c r="AB16" s="22">
        <v>1</v>
      </c>
      <c r="AD16" s="30">
        <v>1</v>
      </c>
      <c r="AE16" s="30">
        <v>1</v>
      </c>
      <c r="AF16" s="4"/>
      <c r="AG16" s="4"/>
      <c r="AH16" s="4"/>
      <c r="AI16" s="4"/>
      <c r="AJ16" s="30">
        <v>1</v>
      </c>
      <c r="AK16" s="14">
        <v>19.399999999999999</v>
      </c>
      <c r="AL16" s="41">
        <v>77</v>
      </c>
      <c r="AM16" s="40">
        <v>35765</v>
      </c>
      <c r="AN16" s="18">
        <v>1119.95</v>
      </c>
      <c r="AO16" s="18"/>
    </row>
    <row r="17" spans="1:41" x14ac:dyDescent="0.25">
      <c r="A17" s="5"/>
      <c r="B17" s="5"/>
      <c r="C17" s="5"/>
      <c r="D17" s="5"/>
      <c r="E17" s="5"/>
      <c r="F17" s="5"/>
      <c r="G17" s="5"/>
      <c r="H17" s="5"/>
      <c r="I17" s="5"/>
      <c r="J17" t="s">
        <v>38</v>
      </c>
      <c r="K17" s="5"/>
      <c r="L17" s="7"/>
      <c r="M17" s="7"/>
      <c r="N17" s="7"/>
      <c r="O17" s="7"/>
      <c r="P17" s="7"/>
      <c r="Q17" s="7"/>
      <c r="R17" s="38">
        <v>2.8</v>
      </c>
      <c r="S17" s="3">
        <f>+K$16/R17</f>
        <v>8.5714285714285712</v>
      </c>
      <c r="T17">
        <v>10</v>
      </c>
      <c r="U17">
        <v>10</v>
      </c>
      <c r="V17">
        <v>6</v>
      </c>
      <c r="AD17" s="30">
        <v>1</v>
      </c>
      <c r="AE17" s="4"/>
      <c r="AF17" s="4"/>
      <c r="AG17" s="4"/>
      <c r="AH17" s="4"/>
      <c r="AI17" s="4"/>
      <c r="AJ17" s="30">
        <v>1</v>
      </c>
      <c r="AK17" s="14">
        <v>9.5</v>
      </c>
      <c r="AL17" s="41">
        <v>58</v>
      </c>
      <c r="AM17" s="40">
        <v>32478</v>
      </c>
      <c r="AN17" s="18">
        <v>289.95</v>
      </c>
      <c r="AO17" s="18"/>
    </row>
    <row r="18" spans="1:41" x14ac:dyDescent="0.25">
      <c r="A18" s="5"/>
      <c r="B18" s="5"/>
      <c r="C18" s="5"/>
      <c r="D18" s="5"/>
      <c r="E18" s="5"/>
      <c r="F18" s="5"/>
      <c r="G18" s="5"/>
      <c r="H18" s="5"/>
      <c r="I18" s="5"/>
      <c r="J18" t="s">
        <v>109</v>
      </c>
      <c r="K18" s="5"/>
      <c r="L18" s="7"/>
      <c r="M18" s="7"/>
      <c r="N18" s="7"/>
      <c r="O18" s="7"/>
      <c r="P18" s="7"/>
      <c r="Q18" s="7"/>
      <c r="R18" s="38">
        <v>3.5</v>
      </c>
      <c r="S18" s="3">
        <f>+K$16/R18</f>
        <v>6.8571428571428568</v>
      </c>
      <c r="T18">
        <v>11</v>
      </c>
      <c r="U18">
        <v>9</v>
      </c>
      <c r="V18">
        <v>8</v>
      </c>
      <c r="W18" s="51"/>
      <c r="Z18" s="22">
        <v>1</v>
      </c>
      <c r="AD18" s="4"/>
      <c r="AE18" s="4"/>
      <c r="AF18" s="4"/>
      <c r="AG18" s="4"/>
      <c r="AH18" s="4"/>
      <c r="AI18" s="4"/>
      <c r="AJ18" s="30">
        <v>1</v>
      </c>
      <c r="AK18" s="14">
        <f>1.3*16</f>
        <v>20.8</v>
      </c>
      <c r="AL18" s="41">
        <v>72</v>
      </c>
      <c r="AM18" s="40">
        <v>33329</v>
      </c>
      <c r="AN18" s="18">
        <v>1099.95</v>
      </c>
      <c r="AO18" s="18"/>
    </row>
    <row r="19" spans="1:41" x14ac:dyDescent="0.25">
      <c r="A19" s="5"/>
      <c r="B19" s="5"/>
      <c r="C19" s="5"/>
      <c r="D19" s="5"/>
      <c r="E19" s="5"/>
      <c r="F19" s="5"/>
      <c r="G19" s="5"/>
      <c r="H19" s="5"/>
      <c r="I19" s="5"/>
      <c r="J19" s="35" t="s">
        <v>124</v>
      </c>
      <c r="K19" s="5"/>
      <c r="L19" s="7"/>
      <c r="M19" s="7"/>
      <c r="N19" s="7"/>
      <c r="O19" s="7"/>
      <c r="P19" s="7"/>
      <c r="Q19" s="7"/>
      <c r="R19" s="38">
        <v>1.8</v>
      </c>
      <c r="S19" s="3">
        <f>+K$16/R19</f>
        <v>13.333333333333332</v>
      </c>
      <c r="T19">
        <v>10</v>
      </c>
      <c r="U19">
        <v>9</v>
      </c>
      <c r="V19">
        <v>9</v>
      </c>
      <c r="Z19" s="22">
        <v>2</v>
      </c>
      <c r="AA19" s="10"/>
      <c r="AB19" s="10"/>
      <c r="AC19" s="10"/>
      <c r="AD19" s="30">
        <v>1</v>
      </c>
      <c r="AE19" s="31"/>
      <c r="AF19" s="31"/>
      <c r="AG19" s="31"/>
      <c r="AH19" s="31"/>
      <c r="AI19" s="31"/>
      <c r="AJ19" s="30">
        <v>1</v>
      </c>
      <c r="AK19" s="14">
        <v>17.100000000000001</v>
      </c>
      <c r="AL19" s="41">
        <v>77</v>
      </c>
      <c r="AM19" s="40"/>
      <c r="AN19" s="18">
        <v>339</v>
      </c>
      <c r="AO19" s="18"/>
    </row>
    <row r="20" spans="1:41" x14ac:dyDescent="0.25">
      <c r="A20" s="5"/>
      <c r="B20" s="5"/>
      <c r="C20" s="5"/>
      <c r="D20" s="5"/>
      <c r="E20" s="5"/>
      <c r="F20" s="5"/>
      <c r="G20" s="5"/>
      <c r="H20" s="5"/>
      <c r="I20" s="5"/>
      <c r="J20" s="10" t="s">
        <v>42</v>
      </c>
      <c r="K20" s="10">
        <v>28</v>
      </c>
      <c r="L20" s="3">
        <f>DEGREES(2*ATAN(D$11/2/$K20))</f>
        <v>44.087080760779678</v>
      </c>
      <c r="M20" s="3">
        <f>DEGREES(2*ATAN(E$11/2/$K20))</f>
        <v>30.212775158783838</v>
      </c>
      <c r="N20" s="3">
        <f>DEGREES(2*ATAN(SQRT(TAN(RADIANS(L20)/2)^2+TAN(RADIANS(M20)/2)^2)))</f>
        <v>51.898983375528495</v>
      </c>
      <c r="O20" s="3">
        <f>+SQRT(L$5*M$5/(L20*M20))</f>
        <v>0.89577209643089895</v>
      </c>
      <c r="P20" s="3">
        <f>+N$5/N20</f>
        <v>0.90161695471725745</v>
      </c>
      <c r="Q20" s="3">
        <f>DEGREES(ATAN(1/(K20*I$11)))*60*60</f>
        <v>54.374203992668654</v>
      </c>
      <c r="R20" s="37">
        <v>1.8</v>
      </c>
      <c r="S20" s="3">
        <f>+K20/R20</f>
        <v>15.555555555555555</v>
      </c>
      <c r="T20" s="10">
        <v>10</v>
      </c>
      <c r="U20" s="10">
        <v>9</v>
      </c>
      <c r="V20" s="10">
        <v>9</v>
      </c>
      <c r="W20" s="10"/>
      <c r="X20" s="10"/>
      <c r="Y20" s="22">
        <v>1</v>
      </c>
      <c r="Z20" s="22">
        <v>1</v>
      </c>
      <c r="AA20" s="10"/>
      <c r="AB20" s="10"/>
      <c r="AC20" s="10"/>
      <c r="AD20" s="22">
        <v>1</v>
      </c>
      <c r="AE20" s="22">
        <v>1</v>
      </c>
      <c r="AF20" s="10"/>
      <c r="AG20" s="4"/>
      <c r="AH20" s="4"/>
      <c r="AI20" s="4"/>
      <c r="AJ20" s="10"/>
      <c r="AK20" s="13">
        <v>10.9</v>
      </c>
      <c r="AL20" s="39">
        <v>58</v>
      </c>
      <c r="AM20" s="40">
        <v>34943</v>
      </c>
      <c r="AN20" s="18">
        <v>399.95</v>
      </c>
      <c r="AO20" s="18">
        <v>15</v>
      </c>
    </row>
    <row r="21" spans="1:41" x14ac:dyDescent="0.25">
      <c r="A21" s="5"/>
      <c r="B21" s="5"/>
      <c r="C21" s="5"/>
      <c r="D21" s="5"/>
      <c r="E21" s="5"/>
      <c r="F21" s="5"/>
      <c r="G21" s="5"/>
      <c r="H21" s="5"/>
      <c r="I21" s="5"/>
      <c r="J21" s="10" t="s">
        <v>11</v>
      </c>
      <c r="K21" s="5"/>
      <c r="L21" s="7"/>
      <c r="M21" s="7"/>
      <c r="N21" s="7"/>
      <c r="O21" s="7"/>
      <c r="P21" s="7"/>
      <c r="Q21" s="7"/>
      <c r="R21" s="38">
        <v>2.8</v>
      </c>
      <c r="S21" s="3">
        <f>+K20/R21</f>
        <v>10</v>
      </c>
      <c r="T21" s="10">
        <v>5</v>
      </c>
      <c r="U21" s="10">
        <v>5</v>
      </c>
      <c r="V21" s="10">
        <v>5</v>
      </c>
      <c r="W21" s="10"/>
      <c r="X21" s="10"/>
      <c r="Y21" s="10"/>
      <c r="Z21" s="22">
        <v>1</v>
      </c>
      <c r="AA21" s="10"/>
      <c r="AB21" s="10"/>
      <c r="AC21" s="10"/>
      <c r="AD21" s="31"/>
      <c r="AE21" s="31"/>
      <c r="AF21" s="31"/>
      <c r="AG21" s="31"/>
      <c r="AH21" s="31"/>
      <c r="AI21" s="31"/>
      <c r="AJ21" s="31"/>
      <c r="AK21" s="13">
        <v>6.5</v>
      </c>
      <c r="AL21" s="39">
        <v>52</v>
      </c>
      <c r="AM21" s="40">
        <v>31868</v>
      </c>
      <c r="AN21" s="18">
        <v>169.95</v>
      </c>
      <c r="AO21" s="18"/>
    </row>
    <row r="22" spans="1:41" x14ac:dyDescent="0.25">
      <c r="A22" s="5"/>
      <c r="B22" s="5"/>
      <c r="C22" s="5"/>
      <c r="D22" s="5"/>
      <c r="E22" s="5"/>
      <c r="F22" s="5"/>
      <c r="G22" s="5"/>
      <c r="H22" s="5"/>
      <c r="I22" s="5"/>
      <c r="J22" t="s">
        <v>45</v>
      </c>
      <c r="K22" s="10">
        <v>35</v>
      </c>
      <c r="L22" s="3">
        <f>DEGREES(2*ATAN(D$11/2/$K22))</f>
        <v>35.897220543647897</v>
      </c>
      <c r="M22" s="3">
        <f>DEGREES(2*ATAN(E$11/2/$K22))</f>
        <v>24.372038482312799</v>
      </c>
      <c r="N22" s="3">
        <f>DEGREES(2*ATAN(SQRT(TAN(RADIANS(L22)/2)^2+TAN(RADIANS(M22)/2)^2)))</f>
        <v>42.543265370802196</v>
      </c>
      <c r="O22" s="3">
        <f>+SQRT(L$5*M$5/(L22*M22))</f>
        <v>1.1052796435061518</v>
      </c>
      <c r="P22" s="3">
        <f>+N$5/N22</f>
        <v>1.0998921435889595</v>
      </c>
      <c r="Q22" s="3">
        <f>DEGREES(ATAN(1/(K22*I$11)))*60*60</f>
        <v>43.499363556878478</v>
      </c>
      <c r="R22" s="37">
        <v>1.4</v>
      </c>
      <c r="S22" s="3">
        <f>+K22/R22</f>
        <v>25</v>
      </c>
      <c r="T22">
        <v>11</v>
      </c>
      <c r="U22">
        <v>9</v>
      </c>
      <c r="V22" s="10">
        <v>8</v>
      </c>
      <c r="W22" s="51"/>
      <c r="Y22" s="22">
        <v>1</v>
      </c>
      <c r="Z22" s="22">
        <v>1</v>
      </c>
      <c r="AA22" s="10"/>
      <c r="AC22" s="10"/>
      <c r="AD22" s="30">
        <v>1</v>
      </c>
      <c r="AE22" s="30">
        <v>1</v>
      </c>
      <c r="AF22" s="4"/>
      <c r="AG22" s="4"/>
      <c r="AH22" s="4"/>
      <c r="AI22" s="4"/>
      <c r="AJ22" s="30">
        <v>1</v>
      </c>
      <c r="AK22" s="13">
        <v>20.5</v>
      </c>
      <c r="AL22" s="39">
        <v>72</v>
      </c>
      <c r="AM22" s="40">
        <v>36130</v>
      </c>
      <c r="AN22" s="18">
        <v>1119.95</v>
      </c>
    </row>
    <row r="23" spans="1:41" x14ac:dyDescent="0.25">
      <c r="A23" s="5"/>
      <c r="B23" s="5"/>
      <c r="C23" s="5"/>
      <c r="D23" s="5"/>
      <c r="E23" s="5"/>
      <c r="F23" s="5"/>
      <c r="G23" s="5"/>
      <c r="H23" s="5"/>
      <c r="I23" s="5"/>
      <c r="J23" t="s">
        <v>10</v>
      </c>
      <c r="K23" s="5"/>
      <c r="L23" s="7"/>
      <c r="M23" s="7"/>
      <c r="N23" s="7"/>
      <c r="O23" s="7"/>
      <c r="P23" s="7"/>
      <c r="Q23" s="7"/>
      <c r="R23" s="38">
        <v>2</v>
      </c>
      <c r="S23" s="3">
        <f>+K22/R23</f>
        <v>17.5</v>
      </c>
      <c r="T23">
        <v>7</v>
      </c>
      <c r="U23">
        <v>5</v>
      </c>
      <c r="V23">
        <v>5</v>
      </c>
      <c r="AA23" s="10"/>
      <c r="AC23" s="10"/>
      <c r="AD23" s="4"/>
      <c r="AE23" s="4"/>
      <c r="AF23" s="4"/>
      <c r="AG23" s="4"/>
      <c r="AH23" s="4"/>
      <c r="AI23" s="4"/>
      <c r="AJ23" s="4"/>
      <c r="AK23" s="14">
        <v>7.4</v>
      </c>
      <c r="AL23" s="41">
        <v>52</v>
      </c>
      <c r="AM23" s="40">
        <v>33147</v>
      </c>
      <c r="AN23" s="18">
        <v>229.95</v>
      </c>
    </row>
    <row r="24" spans="1:41" x14ac:dyDescent="0.25">
      <c r="A24" s="5"/>
      <c r="B24" s="5"/>
      <c r="C24" s="5"/>
      <c r="D24" s="5"/>
      <c r="E24" s="5"/>
      <c r="F24" s="5"/>
      <c r="G24" s="5"/>
      <c r="H24" s="5"/>
      <c r="I24" s="5"/>
      <c r="J24" t="s">
        <v>110</v>
      </c>
      <c r="K24" s="10">
        <v>45</v>
      </c>
      <c r="L24" s="3">
        <f>DEGREES(2*ATAN(D$11/2/$K24))</f>
        <v>28.282084342774802</v>
      </c>
      <c r="M24" s="3">
        <f>DEGREES(2*ATAN(E$11/2/$K24))</f>
        <v>19.069132481153282</v>
      </c>
      <c r="N24" s="3">
        <f>DEGREES(2*ATAN(SQRT(TAN(RADIANS(L24)/2)^2+TAN(RADIANS(M24)/2)^2)))</f>
        <v>33.692556937927485</v>
      </c>
      <c r="O24" s="3">
        <f>+SQRT(L$5*M$5/(L24*M24))</f>
        <v>1.4077558351144801</v>
      </c>
      <c r="P24" s="3">
        <f>+N$5/N24</f>
        <v>1.3888231584849235</v>
      </c>
      <c r="Q24" s="3">
        <f>DEGREES(ATAN(1/(K24*I$11)))*60*60</f>
        <v>33.832838520168245</v>
      </c>
      <c r="R24" s="38">
        <v>2.8</v>
      </c>
      <c r="S24" s="3">
        <f>+K24/R24</f>
        <v>16.071428571428573</v>
      </c>
      <c r="T24">
        <v>10</v>
      </c>
      <c r="U24">
        <v>9</v>
      </c>
      <c r="V24">
        <v>8</v>
      </c>
      <c r="AA24" s="10"/>
      <c r="AC24" s="10"/>
      <c r="AD24" s="4"/>
      <c r="AE24" s="4"/>
      <c r="AF24" s="4"/>
      <c r="AG24" s="4"/>
      <c r="AH24" s="4"/>
      <c r="AI24" s="4"/>
      <c r="AJ24" s="30">
        <v>1</v>
      </c>
      <c r="AK24" s="14">
        <f>1.4*16</f>
        <v>22.4</v>
      </c>
      <c r="AL24" s="41">
        <v>72</v>
      </c>
      <c r="AM24" s="40">
        <v>33329</v>
      </c>
      <c r="AN24" s="18">
        <v>1099.95</v>
      </c>
    </row>
    <row r="25" spans="1:41" x14ac:dyDescent="0.25">
      <c r="A25" s="5"/>
      <c r="B25" s="5"/>
      <c r="C25" s="5"/>
      <c r="D25" s="5"/>
      <c r="E25" s="5"/>
      <c r="F25" s="5"/>
      <c r="G25" s="5"/>
      <c r="H25" s="5"/>
      <c r="I25" s="5"/>
      <c r="J25" t="s">
        <v>103</v>
      </c>
      <c r="K25" s="10">
        <v>50</v>
      </c>
      <c r="L25" s="3">
        <f>DEGREES(2*ATAN(D$11/2/$K25))</f>
        <v>25.55155259642498</v>
      </c>
      <c r="M25" s="3">
        <f>DEGREES(2*ATAN(E$11/2/$K25))</f>
        <v>17.19224681143001</v>
      </c>
      <c r="N25" s="3">
        <f>DEGREES(2*ATAN(SQRT(TAN(RADIANS(L25)/2)^2+TAN(RADIANS(M25)/2)^2)))</f>
        <v>30.488066833943702</v>
      </c>
      <c r="O25" s="3">
        <f>+SQRT(L$5*M$5/(L25*M25))</f>
        <v>1.5598166249218299</v>
      </c>
      <c r="P25" s="3">
        <f>+N$5/N25</f>
        <v>1.5347973224681097</v>
      </c>
      <c r="Q25" s="3">
        <f>DEGREES(ATAN(1/(K25*I$11)))*60*60</f>
        <v>30.44955472003619</v>
      </c>
      <c r="R25" s="38">
        <v>1</v>
      </c>
      <c r="S25" s="3">
        <f>+K$25/R25</f>
        <v>50</v>
      </c>
      <c r="T25">
        <v>11</v>
      </c>
      <c r="U25">
        <v>9</v>
      </c>
      <c r="V25">
        <v>8</v>
      </c>
      <c r="W25" s="51"/>
      <c r="Y25" s="22">
        <v>1</v>
      </c>
      <c r="AA25" s="10"/>
      <c r="AC25" s="10"/>
      <c r="AD25" s="4"/>
      <c r="AE25" s="30">
        <v>1</v>
      </c>
      <c r="AF25" s="4"/>
      <c r="AG25" s="4"/>
      <c r="AH25" s="4"/>
      <c r="AI25" s="4"/>
      <c r="AJ25" s="4"/>
      <c r="AK25" s="14">
        <v>34.700000000000003</v>
      </c>
      <c r="AL25" s="41">
        <v>72</v>
      </c>
      <c r="AM25" s="40">
        <v>32752</v>
      </c>
      <c r="AN25" s="18" t="e">
        <f>NA()</f>
        <v>#N/A</v>
      </c>
    </row>
    <row r="26" spans="1:41" x14ac:dyDescent="0.25">
      <c r="A26" s="5"/>
      <c r="B26" s="5"/>
      <c r="C26" s="5"/>
      <c r="D26" s="5"/>
      <c r="E26" s="5"/>
      <c r="F26" s="5"/>
      <c r="G26" s="5"/>
      <c r="H26" s="5"/>
      <c r="I26" s="5"/>
      <c r="J26" t="s">
        <v>9</v>
      </c>
      <c r="K26" s="5"/>
      <c r="L26" s="7"/>
      <c r="M26" s="7"/>
      <c r="N26" s="7"/>
      <c r="O26" s="7"/>
      <c r="P26" s="7"/>
      <c r="Q26" s="7"/>
      <c r="R26" s="37">
        <v>1.4</v>
      </c>
      <c r="S26" s="3">
        <f>+K$25/R26</f>
        <v>35.714285714285715</v>
      </c>
      <c r="T26">
        <v>7</v>
      </c>
      <c r="U26">
        <v>6</v>
      </c>
      <c r="V26">
        <v>8</v>
      </c>
      <c r="Y26" s="22">
        <v>1</v>
      </c>
      <c r="AA26" s="10"/>
      <c r="AC26" s="10"/>
      <c r="AD26" s="4"/>
      <c r="AE26" s="30">
        <v>1</v>
      </c>
      <c r="AF26" s="4"/>
      <c r="AG26" s="4"/>
      <c r="AH26" s="4"/>
      <c r="AI26" s="4"/>
      <c r="AJ26" s="4"/>
      <c r="AK26" s="14">
        <v>10.199999999999999</v>
      </c>
      <c r="AL26" s="41">
        <v>58</v>
      </c>
      <c r="AM26" s="40">
        <v>34121</v>
      </c>
      <c r="AN26" s="18">
        <v>309.95</v>
      </c>
      <c r="AO26" s="55">
        <v>15</v>
      </c>
    </row>
    <row r="27" spans="1:41" x14ac:dyDescent="0.25">
      <c r="A27" s="5"/>
      <c r="B27" s="5"/>
      <c r="C27" s="5"/>
      <c r="D27" s="5"/>
      <c r="E27" s="5"/>
      <c r="F27" s="5"/>
      <c r="G27" s="5"/>
      <c r="H27" s="5"/>
      <c r="I27" s="5"/>
      <c r="J27" t="s">
        <v>46</v>
      </c>
      <c r="K27" s="5"/>
      <c r="L27" s="7"/>
      <c r="M27" s="7"/>
      <c r="N27" s="7"/>
      <c r="O27" s="7"/>
      <c r="P27" s="7"/>
      <c r="Q27" s="7"/>
      <c r="R27" s="38">
        <v>1.8</v>
      </c>
      <c r="S27" s="3">
        <f>+K$25/R27</f>
        <v>27.777777777777779</v>
      </c>
      <c r="T27">
        <v>6</v>
      </c>
      <c r="U27">
        <v>5</v>
      </c>
      <c r="V27">
        <v>5</v>
      </c>
      <c r="AA27" s="10"/>
      <c r="AC27" s="10"/>
      <c r="AD27" s="4"/>
      <c r="AE27" s="4"/>
      <c r="AF27" s="4"/>
      <c r="AG27" s="4"/>
      <c r="AH27" s="4"/>
      <c r="AI27" s="4"/>
      <c r="AJ27" s="4"/>
      <c r="AK27" s="13">
        <v>4.5999999999999996</v>
      </c>
      <c r="AL27" s="39">
        <v>52</v>
      </c>
      <c r="AM27" s="40">
        <v>33208</v>
      </c>
      <c r="AN27" s="18">
        <v>74.95</v>
      </c>
    </row>
    <row r="28" spans="1:41" x14ac:dyDescent="0.25">
      <c r="A28" s="5"/>
      <c r="B28" s="5"/>
      <c r="C28" s="5"/>
      <c r="D28" s="5"/>
      <c r="E28" s="5"/>
      <c r="F28" s="5"/>
      <c r="G28" s="5"/>
      <c r="H28" s="5"/>
      <c r="I28" s="5"/>
      <c r="J28" t="s">
        <v>94</v>
      </c>
      <c r="K28" s="5"/>
      <c r="L28" s="7"/>
      <c r="M28" s="7"/>
      <c r="N28" s="7"/>
      <c r="O28" s="7"/>
      <c r="P28" s="7"/>
      <c r="Q28" s="7"/>
      <c r="R28" s="38">
        <v>2.5</v>
      </c>
      <c r="S28" s="3">
        <f>+K$25/R28</f>
        <v>20</v>
      </c>
      <c r="T28">
        <v>9</v>
      </c>
      <c r="U28">
        <v>8</v>
      </c>
      <c r="V28">
        <v>6</v>
      </c>
      <c r="AA28" s="10"/>
      <c r="AC28" s="10"/>
      <c r="AD28" s="4"/>
      <c r="AE28" s="4"/>
      <c r="AF28" s="4"/>
      <c r="AG28" s="4"/>
      <c r="AH28" s="4"/>
      <c r="AI28" s="4"/>
      <c r="AJ28" s="30">
        <v>1</v>
      </c>
      <c r="AK28" s="13">
        <v>9.9</v>
      </c>
      <c r="AL28" s="39">
        <v>52</v>
      </c>
      <c r="AM28" s="40">
        <v>32112</v>
      </c>
      <c r="AN28" s="18">
        <v>239.95</v>
      </c>
    </row>
    <row r="29" spans="1:41" x14ac:dyDescent="0.25">
      <c r="A29" s="5"/>
      <c r="B29" s="5"/>
      <c r="C29" s="5"/>
      <c r="D29" s="5"/>
      <c r="E29" s="5"/>
      <c r="F29" s="5"/>
      <c r="G29" s="5"/>
      <c r="H29" s="5"/>
      <c r="I29" s="5"/>
      <c r="J29" t="s">
        <v>95</v>
      </c>
      <c r="K29" s="10">
        <v>65</v>
      </c>
      <c r="L29" s="3">
        <f>DEGREES(2*ATAN(D$11/2/$K29))</f>
        <v>19.788326903743172</v>
      </c>
      <c r="M29" s="3">
        <f>DEGREES(2*ATAN(E$11/2/$K29))</f>
        <v>13.265358337962688</v>
      </c>
      <c r="N29" s="3">
        <f>DEGREES(2*ATAN(SQRT(TAN(RADIANS(L29)/2)^2+TAN(RADIANS(M29)/2)^2)))</f>
        <v>23.678982477300163</v>
      </c>
      <c r="O29" s="3">
        <f>+SQRT(L$5*M$5/(L29*M29))</f>
        <v>2.0178295580806997</v>
      </c>
      <c r="P29" s="3">
        <f>+N$5/N29</f>
        <v>1.9761407986522921</v>
      </c>
      <c r="Q29" s="3">
        <f>DEGREES(ATAN(1/(K29*I$11)))*60*60</f>
        <v>23.422734469496721</v>
      </c>
      <c r="R29" s="38">
        <v>2.8</v>
      </c>
      <c r="S29" s="3">
        <f>+K29/R29</f>
        <v>23.214285714285715</v>
      </c>
      <c r="T29">
        <v>10</v>
      </c>
      <c r="U29">
        <v>8</v>
      </c>
      <c r="V29">
        <v>6</v>
      </c>
      <c r="AA29" s="10"/>
      <c r="AB29" s="30">
        <v>1</v>
      </c>
      <c r="AC29" s="10"/>
      <c r="AD29" s="4"/>
      <c r="AE29" s="4"/>
      <c r="AF29" s="4"/>
      <c r="AG29" s="4"/>
      <c r="AH29" s="4"/>
      <c r="AI29" s="4"/>
      <c r="AJ29" s="30">
        <v>1</v>
      </c>
      <c r="AK29" s="13">
        <v>25.8</v>
      </c>
      <c r="AL29" s="39">
        <v>58</v>
      </c>
      <c r="AM29" s="40">
        <v>36404</v>
      </c>
      <c r="AN29" s="18">
        <v>829.95</v>
      </c>
    </row>
    <row r="30" spans="1:41" x14ac:dyDescent="0.25">
      <c r="A30" s="5"/>
      <c r="B30" s="5"/>
      <c r="C30" s="5"/>
      <c r="D30" s="5"/>
      <c r="E30" s="5"/>
      <c r="F30" s="5"/>
      <c r="G30" s="5"/>
      <c r="H30" s="5"/>
      <c r="I30" s="5"/>
      <c r="J30" t="s">
        <v>47</v>
      </c>
      <c r="K30" s="10">
        <v>85</v>
      </c>
      <c r="L30" s="3">
        <f>DEGREES(2*ATAN(D$11/2/$K30))</f>
        <v>15.194796689990095</v>
      </c>
      <c r="M30" s="3">
        <f>DEGREES(2*ATAN(E$11/2/$K30))</f>
        <v>10.162925030128962</v>
      </c>
      <c r="N30" s="3">
        <f>DEGREES(2*ATAN(SQRT(TAN(RADIANS(L30)/2)^2+TAN(RADIANS(M30)/2)^2)))</f>
        <v>18.214690593960974</v>
      </c>
      <c r="O30" s="3">
        <f>+SQRT(L$5*M$5/(L30*M30))</f>
        <v>2.6308234420602283</v>
      </c>
      <c r="P30" s="3">
        <f>+N$5/N30</f>
        <v>2.5689705297261352</v>
      </c>
      <c r="Q30" s="3">
        <f>DEGREES(ATAN(1/(K30*I$11)))*60*60</f>
        <v>17.911502861583408</v>
      </c>
      <c r="R30" s="37">
        <v>1.2</v>
      </c>
      <c r="S30" s="3">
        <f>+K30/R30</f>
        <v>70.833333333333343</v>
      </c>
      <c r="T30">
        <v>8</v>
      </c>
      <c r="U30">
        <v>7</v>
      </c>
      <c r="V30">
        <v>8</v>
      </c>
      <c r="W30" s="51"/>
      <c r="Y30" s="22">
        <v>1</v>
      </c>
      <c r="Z30" s="22">
        <v>1</v>
      </c>
      <c r="AA30" s="10"/>
      <c r="AC30" s="10"/>
      <c r="AD30" s="4"/>
      <c r="AE30" s="30">
        <v>1</v>
      </c>
      <c r="AF30" s="4"/>
      <c r="AG30" s="4"/>
      <c r="AH30" s="4"/>
      <c r="AI30" s="4"/>
      <c r="AJ30" s="30">
        <v>1</v>
      </c>
      <c r="AK30" s="13">
        <f>2.3*16</f>
        <v>36.799999999999997</v>
      </c>
      <c r="AL30" s="39">
        <v>72</v>
      </c>
      <c r="AM30" s="40">
        <v>32752</v>
      </c>
      <c r="AN30" s="18">
        <v>1474.95</v>
      </c>
    </row>
    <row r="31" spans="1:41" x14ac:dyDescent="0.25">
      <c r="A31" s="5"/>
      <c r="B31" s="5"/>
      <c r="C31" s="5"/>
      <c r="D31" s="5"/>
      <c r="E31" s="5"/>
      <c r="F31" s="5"/>
      <c r="G31" s="5"/>
      <c r="H31" s="5"/>
      <c r="I31" s="5"/>
      <c r="J31" t="s">
        <v>15</v>
      </c>
      <c r="K31" s="5"/>
      <c r="L31" s="7"/>
      <c r="M31" s="7"/>
      <c r="N31" s="7"/>
      <c r="O31" s="7"/>
      <c r="P31" s="7"/>
      <c r="Q31" s="7"/>
      <c r="R31" s="38">
        <v>1.8</v>
      </c>
      <c r="S31" s="3">
        <f>+K30/R31</f>
        <v>47.222222222222221</v>
      </c>
      <c r="T31">
        <v>9</v>
      </c>
      <c r="U31">
        <v>7</v>
      </c>
      <c r="V31">
        <v>8</v>
      </c>
      <c r="Y31" s="22">
        <v>1</v>
      </c>
      <c r="AA31" s="10"/>
      <c r="AC31" s="10"/>
      <c r="AD31" s="30">
        <v>1</v>
      </c>
      <c r="AE31" s="30">
        <v>1</v>
      </c>
      <c r="AF31" s="4"/>
      <c r="AG31" s="4"/>
      <c r="AH31" s="4"/>
      <c r="AI31" s="4"/>
      <c r="AJ31" s="4"/>
      <c r="AK31" s="14">
        <v>15</v>
      </c>
      <c r="AL31" s="41">
        <v>58</v>
      </c>
      <c r="AM31" s="40">
        <v>33786</v>
      </c>
      <c r="AN31" s="18">
        <v>339.95</v>
      </c>
      <c r="AO31" s="18">
        <v>15</v>
      </c>
    </row>
    <row r="32" spans="1:41" x14ac:dyDescent="0.25">
      <c r="A32" s="5"/>
      <c r="B32" s="5"/>
      <c r="C32" s="5"/>
      <c r="D32" s="5"/>
      <c r="E32" s="5"/>
      <c r="F32" s="5"/>
      <c r="G32" s="5"/>
      <c r="H32" s="5"/>
      <c r="I32" s="5"/>
      <c r="J32" t="s">
        <v>133</v>
      </c>
      <c r="K32" s="10">
        <v>90</v>
      </c>
      <c r="L32" s="3">
        <f>DEGREES(2*ATAN(D$11/2/$K32))</f>
        <v>14.359705387248949</v>
      </c>
      <c r="M32" s="3">
        <f>DEGREES(2*ATAN(E$11/2/$K32))</f>
        <v>9.6010336907990101</v>
      </c>
      <c r="N32" s="3">
        <f>DEGREES(2*ATAN(SQRT(TAN(RADIANS(L32)/2)^2+TAN(RADIANS(M32)/2)^2)))</f>
        <v>17.218360678798089</v>
      </c>
      <c r="O32" s="3">
        <f>+SQRT(L$5*M$5/(L32*M32))</f>
        <v>2.7843046262230162</v>
      </c>
      <c r="P32" s="3">
        <f>+N$5/N32</f>
        <v>2.7176224390272159</v>
      </c>
      <c r="Q32" s="3">
        <f>DEGREES(ATAN(1/(K32*I$11)))*60*60</f>
        <v>16.916419373866518</v>
      </c>
      <c r="R32" s="38">
        <v>2.8</v>
      </c>
      <c r="S32" s="3">
        <f>+K32/R32</f>
        <v>32.142857142857146</v>
      </c>
      <c r="T32" s="10">
        <v>6</v>
      </c>
      <c r="U32" s="10">
        <v>5</v>
      </c>
      <c r="V32" s="10">
        <v>8</v>
      </c>
      <c r="W32" s="10"/>
      <c r="X32" s="10"/>
      <c r="Y32" s="10"/>
      <c r="Z32" s="10"/>
      <c r="AA32" s="10"/>
      <c r="AB32" s="10"/>
      <c r="AC32" s="10"/>
      <c r="AD32" s="31"/>
      <c r="AE32" s="31"/>
      <c r="AF32" s="4"/>
      <c r="AG32" s="4"/>
      <c r="AH32" s="4"/>
      <c r="AI32" s="4"/>
      <c r="AJ32" s="4"/>
      <c r="AK32" s="14">
        <f>1.2*16</f>
        <v>19.2</v>
      </c>
      <c r="AL32" s="41">
        <v>58</v>
      </c>
      <c r="AM32" s="40">
        <v>33329</v>
      </c>
      <c r="AN32" s="18">
        <v>1099.95</v>
      </c>
    </row>
    <row r="33" spans="1:41" x14ac:dyDescent="0.25">
      <c r="A33" s="5"/>
      <c r="B33" s="5"/>
      <c r="C33" s="5"/>
      <c r="D33" s="5"/>
      <c r="E33" s="5"/>
      <c r="F33" s="5"/>
      <c r="G33" s="5"/>
      <c r="H33" s="5"/>
      <c r="I33" s="5"/>
      <c r="J33" t="s">
        <v>48</v>
      </c>
      <c r="K33" s="10">
        <v>100</v>
      </c>
      <c r="L33" s="3">
        <f>DEGREES(2*ATAN(D$11/2/$K33))</f>
        <v>12.936570478093401</v>
      </c>
      <c r="M33" s="3">
        <f>DEGREES(2*ATAN(E$11/2/$K33))</f>
        <v>8.6447696998775445</v>
      </c>
      <c r="N33" s="3">
        <f>DEGREES(2*ATAN(SQRT(TAN(RADIANS(L33)/2)^2+TAN(RADIANS(M33)/2)^2)))</f>
        <v>15.518640099996206</v>
      </c>
      <c r="O33" s="3">
        <f>+SQRT(L$5*M$5/(L33*M33))</f>
        <v>3.0914499323101743</v>
      </c>
      <c r="P33" s="3">
        <f>+N$5/N33</f>
        <v>3.0152773079631516</v>
      </c>
      <c r="Q33" s="3">
        <f>DEGREES(ATAN(1/(K33*I$11)))*60*60</f>
        <v>15.224777442965458</v>
      </c>
      <c r="R33" s="37">
        <v>2</v>
      </c>
      <c r="S33" s="3">
        <f>+K33/R33</f>
        <v>50</v>
      </c>
      <c r="T33">
        <v>8</v>
      </c>
      <c r="U33">
        <v>6</v>
      </c>
      <c r="V33" s="10">
        <v>8</v>
      </c>
      <c r="W33" s="10"/>
      <c r="Y33" s="22">
        <v>1</v>
      </c>
      <c r="AA33" s="10"/>
      <c r="AC33" s="10"/>
      <c r="AD33" s="30">
        <v>1</v>
      </c>
      <c r="AE33" s="30">
        <v>1</v>
      </c>
      <c r="AF33" s="4"/>
      <c r="AG33" s="4"/>
      <c r="AH33" s="4"/>
      <c r="AI33" s="4"/>
      <c r="AJ33" s="4"/>
      <c r="AK33" s="13">
        <v>16</v>
      </c>
      <c r="AL33" s="39">
        <v>58</v>
      </c>
      <c r="AM33" s="40">
        <v>33512</v>
      </c>
      <c r="AN33" s="18">
        <v>389.95</v>
      </c>
      <c r="AO33" s="18">
        <v>15</v>
      </c>
    </row>
    <row r="34" spans="1:41" x14ac:dyDescent="0.25">
      <c r="A34" s="5"/>
      <c r="B34" s="5"/>
      <c r="C34" s="5"/>
      <c r="D34" s="5"/>
      <c r="E34" s="5"/>
      <c r="F34" s="5"/>
      <c r="G34" s="5"/>
      <c r="H34" s="5"/>
      <c r="I34" s="5"/>
      <c r="J34" t="s">
        <v>96</v>
      </c>
      <c r="K34" s="5"/>
      <c r="L34" s="7"/>
      <c r="M34" s="7"/>
      <c r="N34" s="7"/>
      <c r="O34" s="7"/>
      <c r="P34" s="7"/>
      <c r="Q34" s="7"/>
      <c r="R34" s="37">
        <v>2.8</v>
      </c>
      <c r="S34" s="3">
        <f>+K33/R34</f>
        <v>35.714285714285715</v>
      </c>
      <c r="T34">
        <v>12</v>
      </c>
      <c r="U34">
        <v>8</v>
      </c>
      <c r="V34" s="10">
        <v>8</v>
      </c>
      <c r="W34" s="10"/>
      <c r="X34" s="10"/>
      <c r="Y34" s="22">
        <v>1</v>
      </c>
      <c r="Z34" s="10"/>
      <c r="AA34" s="10"/>
      <c r="AB34" s="10"/>
      <c r="AC34" s="10"/>
      <c r="AD34" s="22">
        <v>1</v>
      </c>
      <c r="AE34" s="22">
        <v>1</v>
      </c>
      <c r="AF34" s="4"/>
      <c r="AG34" s="4"/>
      <c r="AH34" s="4"/>
      <c r="AI34" s="4"/>
      <c r="AJ34" s="22">
        <v>1</v>
      </c>
      <c r="AK34" s="13">
        <v>21.1</v>
      </c>
      <c r="AL34" s="39">
        <v>58</v>
      </c>
      <c r="AM34" s="40">
        <v>36586</v>
      </c>
      <c r="AN34" s="18">
        <v>469.95</v>
      </c>
      <c r="AO34" s="18">
        <v>20</v>
      </c>
    </row>
    <row r="35" spans="1:41" x14ac:dyDescent="0.25">
      <c r="A35" s="5"/>
      <c r="B35" s="5"/>
      <c r="C35" s="5"/>
      <c r="D35" s="5"/>
      <c r="E35" s="5"/>
      <c r="F35" s="5"/>
      <c r="G35" s="5"/>
      <c r="H35" s="5"/>
      <c r="I35" s="5"/>
      <c r="J35" t="s">
        <v>16</v>
      </c>
      <c r="K35" s="10">
        <v>135</v>
      </c>
      <c r="L35" s="3">
        <f>DEGREES(2*ATAN(D$11/2/$K35))</f>
        <v>9.6010336907990101</v>
      </c>
      <c r="M35" s="3">
        <f>DEGREES(2*ATAN(E$11/2/$K35))</f>
        <v>6.4090176858738017</v>
      </c>
      <c r="N35" s="3">
        <f>DEGREES(2*ATAN(SQRT(TAN(RADIANS(L35)/2)^2+TAN(RADIANS(M35)/2)^2)))</f>
        <v>11.527045209650009</v>
      </c>
      <c r="O35" s="3">
        <f>+SQRT(L$5*M$5/(L35*M35))</f>
        <v>4.1676743666592921</v>
      </c>
      <c r="P35" s="3">
        <f>+N$5/N35</f>
        <v>4.0594100650175493</v>
      </c>
      <c r="Q35" s="3">
        <f>DEGREES(ATAN(1/(K35*I$11)))*60*60</f>
        <v>11.277612929958215</v>
      </c>
      <c r="R35" s="37">
        <v>2</v>
      </c>
      <c r="S35" s="3">
        <f>+K35/R35</f>
        <v>67.5</v>
      </c>
      <c r="T35">
        <v>10</v>
      </c>
      <c r="U35">
        <v>8</v>
      </c>
      <c r="V35" s="10">
        <v>8</v>
      </c>
      <c r="W35" s="51"/>
      <c r="Y35" s="22">
        <v>1</v>
      </c>
      <c r="AB35" s="22">
        <v>2</v>
      </c>
      <c r="AC35" s="10"/>
      <c r="AD35" s="30">
        <v>1</v>
      </c>
      <c r="AE35" s="30">
        <v>1</v>
      </c>
      <c r="AF35" s="4"/>
      <c r="AG35" s="4"/>
      <c r="AH35" s="4"/>
      <c r="AI35" s="4"/>
      <c r="AJ35" s="4"/>
      <c r="AK35" s="14">
        <v>27.2</v>
      </c>
      <c r="AL35" s="41">
        <v>72</v>
      </c>
      <c r="AM35" s="40">
        <v>35156</v>
      </c>
      <c r="AN35" s="18">
        <v>899.95</v>
      </c>
      <c r="AO35" s="55">
        <v>35</v>
      </c>
    </row>
    <row r="36" spans="1:41" x14ac:dyDescent="0.25">
      <c r="A36" s="5"/>
      <c r="B36" s="5"/>
      <c r="C36" s="5"/>
      <c r="D36" s="5"/>
      <c r="E36" s="5"/>
      <c r="F36" s="5"/>
      <c r="G36" s="5"/>
      <c r="H36" s="5"/>
      <c r="I36" s="5"/>
      <c r="J36" t="s">
        <v>51</v>
      </c>
      <c r="K36" s="5"/>
      <c r="L36" s="7"/>
      <c r="M36" s="7"/>
      <c r="N36" s="7"/>
      <c r="O36" s="7"/>
      <c r="P36" s="7"/>
      <c r="Q36" s="7"/>
      <c r="R36" s="38">
        <v>2.8</v>
      </c>
      <c r="S36" s="3">
        <f>+K35/R36</f>
        <v>48.214285714285715</v>
      </c>
      <c r="T36">
        <v>7</v>
      </c>
      <c r="U36">
        <v>6</v>
      </c>
      <c r="V36" s="10">
        <v>6</v>
      </c>
      <c r="W36" s="10"/>
      <c r="Z36" s="22">
        <v>1</v>
      </c>
      <c r="AC36" s="10"/>
      <c r="AD36" s="30">
        <v>1</v>
      </c>
      <c r="AE36" s="4"/>
      <c r="AF36" s="4"/>
      <c r="AG36" s="4"/>
      <c r="AH36" s="4"/>
      <c r="AI36" s="4"/>
      <c r="AJ36" s="4"/>
      <c r="AK36" s="13">
        <v>13.8</v>
      </c>
      <c r="AL36" s="39">
        <v>52</v>
      </c>
      <c r="AM36" s="40">
        <v>32051</v>
      </c>
      <c r="AN36" s="18">
        <v>279.95</v>
      </c>
    </row>
    <row r="37" spans="1:41" x14ac:dyDescent="0.25">
      <c r="A37" s="5"/>
      <c r="B37" s="5"/>
      <c r="C37" s="5"/>
      <c r="D37" s="5"/>
      <c r="E37" s="5"/>
      <c r="F37" s="5"/>
      <c r="G37" s="5"/>
      <c r="H37" s="5"/>
      <c r="I37" s="5"/>
      <c r="J37" t="s">
        <v>97</v>
      </c>
      <c r="K37" s="10">
        <v>180</v>
      </c>
      <c r="L37" s="3">
        <f t="shared" ref="L37:M40" si="5">DEGREES(2*ATAN(D$11/2/$K37))</f>
        <v>7.2081501790393485</v>
      </c>
      <c r="M37" s="3">
        <f t="shared" si="5"/>
        <v>4.8089564329916126</v>
      </c>
      <c r="N37" s="3">
        <f>DEGREES(2*ATAN(SQRT(TAN(RADIANS(L37)/2)^2+TAN(RADIANS(M37)/2)^2)))</f>
        <v>8.6580494800108703</v>
      </c>
      <c r="O37" s="3">
        <f>+SQRT(L$5*M$5/(L37*M37))</f>
        <v>5.5527890655674463</v>
      </c>
      <c r="P37" s="3">
        <f>+N$5/N37</f>
        <v>5.4045664040149175</v>
      </c>
      <c r="Q37" s="3">
        <f>DEGREES(ATAN(1/(K37*I$11)))*60*60</f>
        <v>8.458209701156056</v>
      </c>
      <c r="R37" s="38">
        <v>3.5</v>
      </c>
      <c r="S37" s="3">
        <f>+K37/R37</f>
        <v>51.428571428571431</v>
      </c>
      <c r="T37">
        <v>14</v>
      </c>
      <c r="U37">
        <v>12</v>
      </c>
      <c r="V37" s="10">
        <v>8</v>
      </c>
      <c r="W37" s="51"/>
      <c r="X37" s="10"/>
      <c r="Y37" s="22">
        <v>1</v>
      </c>
      <c r="Z37" s="10"/>
      <c r="AA37" s="10"/>
      <c r="AB37" s="22">
        <v>3</v>
      </c>
      <c r="AC37" s="10"/>
      <c r="AD37" s="22">
        <v>1</v>
      </c>
      <c r="AE37" s="22">
        <v>1</v>
      </c>
      <c r="AF37" s="4"/>
      <c r="AG37" s="4"/>
      <c r="AH37" s="4"/>
      <c r="AI37" s="4"/>
      <c r="AJ37" s="22">
        <v>1</v>
      </c>
      <c r="AK37" s="13">
        <f>2.4*16</f>
        <v>38.4</v>
      </c>
      <c r="AL37" s="39">
        <v>72</v>
      </c>
      <c r="AM37" s="40">
        <v>35156</v>
      </c>
      <c r="AN37" s="18">
        <v>1219.95</v>
      </c>
      <c r="AO37" s="55">
        <v>50</v>
      </c>
    </row>
    <row r="38" spans="1:41" x14ac:dyDescent="0.25">
      <c r="A38" s="5"/>
      <c r="B38" s="5"/>
      <c r="C38" s="5"/>
      <c r="D38" s="5"/>
      <c r="E38" s="5"/>
      <c r="F38" s="5"/>
      <c r="G38" s="5"/>
      <c r="H38" s="5"/>
      <c r="I38" s="5"/>
      <c r="J38" s="35" t="s">
        <v>120</v>
      </c>
      <c r="K38" s="5"/>
      <c r="L38" s="7"/>
      <c r="M38" s="7"/>
      <c r="N38" s="7"/>
      <c r="O38" s="7"/>
      <c r="P38" s="7"/>
      <c r="Q38" s="7"/>
      <c r="R38" s="48"/>
      <c r="S38" s="7"/>
      <c r="T38">
        <v>13</v>
      </c>
      <c r="U38">
        <v>10</v>
      </c>
      <c r="V38" s="10">
        <v>9</v>
      </c>
      <c r="W38" s="10"/>
      <c r="X38" s="10"/>
      <c r="Y38" s="22" t="s">
        <v>89</v>
      </c>
      <c r="Z38" s="22" t="s">
        <v>89</v>
      </c>
      <c r="AA38" s="10"/>
      <c r="AB38" s="10"/>
      <c r="AC38" s="10"/>
      <c r="AD38" s="22" t="s">
        <v>89</v>
      </c>
      <c r="AE38" s="10"/>
      <c r="AF38" s="31"/>
      <c r="AG38" s="31"/>
      <c r="AH38" s="31"/>
      <c r="AI38" s="31"/>
      <c r="AJ38" s="10"/>
      <c r="AK38" s="13">
        <f>2.5*16</f>
        <v>40</v>
      </c>
      <c r="AL38" s="39">
        <v>72</v>
      </c>
      <c r="AM38" s="40"/>
      <c r="AN38" s="18">
        <v>689</v>
      </c>
    </row>
    <row r="39" spans="1:41" x14ac:dyDescent="0.25">
      <c r="A39" s="5"/>
      <c r="B39" s="5"/>
      <c r="C39" s="5"/>
      <c r="D39" s="5"/>
      <c r="E39" s="5"/>
      <c r="F39" s="5"/>
      <c r="G39" s="5"/>
      <c r="H39" s="5"/>
      <c r="I39" s="5"/>
      <c r="J39" t="s">
        <v>49</v>
      </c>
      <c r="K39" s="10">
        <v>200</v>
      </c>
      <c r="L39" s="3">
        <f t="shared" si="5"/>
        <v>6.4889603099523061</v>
      </c>
      <c r="M39" s="3">
        <f t="shared" si="5"/>
        <v>4.328543466373576</v>
      </c>
      <c r="N39" s="3">
        <f>DEGREES(2*ATAN(SQRT(TAN(RADIANS(L39)/2)^2+TAN(RADIANS(M39)/2)^2)))</f>
        <v>7.7950604256231681</v>
      </c>
      <c r="O39" s="3">
        <f>+SQRT(L$5*M$5/(L39*M39))</f>
        <v>6.1686490141337185</v>
      </c>
      <c r="P39" s="3">
        <f>+N$5/N39</f>
        <v>6.0029045047748628</v>
      </c>
      <c r="Q39" s="3">
        <f>DEGREES(ATAN(1/(K39*I$11)))*60*60</f>
        <v>7.6123887318511478</v>
      </c>
      <c r="R39" s="37">
        <v>2.8</v>
      </c>
      <c r="S39" s="3">
        <f>+K39/R39</f>
        <v>71.428571428571431</v>
      </c>
      <c r="T39">
        <v>9</v>
      </c>
      <c r="U39">
        <v>7</v>
      </c>
      <c r="V39">
        <v>8</v>
      </c>
      <c r="W39" s="51"/>
      <c r="Y39" s="22">
        <v>1</v>
      </c>
      <c r="AB39" s="22">
        <v>2</v>
      </c>
      <c r="AC39" s="10"/>
      <c r="AD39" s="30">
        <v>1</v>
      </c>
      <c r="AE39" s="30">
        <v>1</v>
      </c>
      <c r="AF39" s="4"/>
      <c r="AG39" s="4"/>
      <c r="AH39" s="4"/>
      <c r="AI39" s="4"/>
      <c r="AJ39" s="4"/>
      <c r="AK39" s="13">
        <f>+AK35</f>
        <v>27.2</v>
      </c>
      <c r="AL39" s="39">
        <v>72</v>
      </c>
      <c r="AM39" s="40">
        <v>35125</v>
      </c>
      <c r="AN39" s="18">
        <v>659.95</v>
      </c>
      <c r="AO39" s="18">
        <v>25</v>
      </c>
    </row>
    <row r="40" spans="1:41" x14ac:dyDescent="0.25">
      <c r="A40" s="5"/>
      <c r="B40" s="5"/>
      <c r="C40" s="5"/>
      <c r="D40" s="5"/>
      <c r="E40" s="5"/>
      <c r="F40" s="5"/>
      <c r="G40" s="5"/>
      <c r="H40" s="5"/>
      <c r="I40" s="5"/>
      <c r="J40" t="s">
        <v>18</v>
      </c>
      <c r="K40" s="10">
        <v>300</v>
      </c>
      <c r="L40" s="3">
        <f t="shared" si="5"/>
        <v>4.328543466373576</v>
      </c>
      <c r="M40" s="3">
        <f t="shared" si="5"/>
        <v>2.886458280917036</v>
      </c>
      <c r="N40" s="3">
        <f>DEGREES(2*ATAN(SQRT(TAN(RADIANS(L40)/2)^2+TAN(RADIANS(M40)/2)^2)))</f>
        <v>5.2011628560323704</v>
      </c>
      <c r="O40" s="3">
        <f>+SQRT(L$5*M$5/(L40*M40))</f>
        <v>9.2490042024774528</v>
      </c>
      <c r="P40" s="3">
        <f>+N$5/N40</f>
        <v>8.9966426045849524</v>
      </c>
      <c r="Q40" s="3">
        <f>DEGREES(ATAN(1/(K40*I$11)))*60*60</f>
        <v>5.0749258225141523</v>
      </c>
      <c r="R40" s="37">
        <v>2.8</v>
      </c>
      <c r="S40" s="3">
        <f>+K40/R40</f>
        <v>107.14285714285715</v>
      </c>
      <c r="T40">
        <v>17</v>
      </c>
      <c r="U40">
        <v>13</v>
      </c>
      <c r="V40">
        <v>8</v>
      </c>
      <c r="W40" s="51"/>
      <c r="Y40" s="22">
        <v>1</v>
      </c>
      <c r="AA40" s="22">
        <v>1</v>
      </c>
      <c r="AB40" s="22">
        <v>2</v>
      </c>
      <c r="AC40" s="10"/>
      <c r="AD40" s="30">
        <v>1</v>
      </c>
      <c r="AE40" s="30">
        <v>1</v>
      </c>
      <c r="AF40" s="4"/>
      <c r="AG40" s="30">
        <v>1</v>
      </c>
      <c r="AH40" s="30">
        <v>1</v>
      </c>
      <c r="AI40" s="30">
        <v>1</v>
      </c>
      <c r="AJ40" s="4"/>
      <c r="AK40" s="13">
        <f>5.6*16</f>
        <v>89.6</v>
      </c>
      <c r="AL40" s="39">
        <v>52</v>
      </c>
      <c r="AM40" s="40">
        <v>36342</v>
      </c>
      <c r="AN40" s="18">
        <v>3899.95</v>
      </c>
    </row>
    <row r="41" spans="1:41" x14ac:dyDescent="0.25">
      <c r="A41" s="5"/>
      <c r="B41" s="5"/>
      <c r="C41" s="5"/>
      <c r="D41" s="5"/>
      <c r="E41" s="5"/>
      <c r="F41" s="5"/>
      <c r="G41" s="5"/>
      <c r="H41" s="5"/>
      <c r="I41" s="5"/>
      <c r="J41" t="s">
        <v>50</v>
      </c>
      <c r="K41" s="5"/>
      <c r="L41" s="7"/>
      <c r="M41" s="7"/>
      <c r="N41" s="7"/>
      <c r="O41" s="7"/>
      <c r="P41" s="7"/>
      <c r="Q41" s="7"/>
      <c r="R41" s="38">
        <v>4</v>
      </c>
      <c r="S41" s="3">
        <f>+K40/R41</f>
        <v>75</v>
      </c>
      <c r="T41">
        <v>15</v>
      </c>
      <c r="U41">
        <v>11</v>
      </c>
      <c r="V41">
        <v>8</v>
      </c>
      <c r="W41" s="51"/>
      <c r="Y41" s="22">
        <v>1</v>
      </c>
      <c r="AB41" s="22">
        <v>2</v>
      </c>
      <c r="AC41" s="10"/>
      <c r="AD41" s="30">
        <v>1</v>
      </c>
      <c r="AE41" s="30">
        <v>1</v>
      </c>
      <c r="AF41" s="4"/>
      <c r="AG41" s="4"/>
      <c r="AH41" s="30">
        <v>1</v>
      </c>
      <c r="AI41" s="4"/>
      <c r="AJ41" s="4"/>
      <c r="AK41" s="13">
        <f>2.6*16</f>
        <v>41.6</v>
      </c>
      <c r="AL41" s="39">
        <v>77</v>
      </c>
      <c r="AM41" s="40">
        <v>35490</v>
      </c>
      <c r="AN41" s="18">
        <v>1149.95</v>
      </c>
      <c r="AO41" s="18">
        <v>45</v>
      </c>
    </row>
    <row r="42" spans="1:41" x14ac:dyDescent="0.25">
      <c r="A42" s="5"/>
      <c r="B42" s="5"/>
      <c r="C42" s="5"/>
      <c r="D42" s="5"/>
      <c r="E42" s="5"/>
      <c r="F42" s="5"/>
      <c r="G42" s="5"/>
      <c r="H42" s="5"/>
      <c r="I42" s="5"/>
      <c r="J42" t="s">
        <v>52</v>
      </c>
      <c r="K42" s="10">
        <v>400</v>
      </c>
      <c r="L42" s="3">
        <f>DEGREES(2*ATAN(D$11/2/$K42))</f>
        <v>3.2470831799067068</v>
      </c>
      <c r="M42" s="3">
        <f>DEGREES(2*ATAN(E$11/2/$K42))</f>
        <v>2.1650440314122408</v>
      </c>
      <c r="N42" s="3">
        <f>DEGREES(2*ATAN(SQRT(TAN(RADIANS(L42)/2)^2+TAN(RADIANS(M42)/2)^2)))</f>
        <v>3.9020442565238649</v>
      </c>
      <c r="O42" s="3">
        <f>+SQRT(L$5*M$5/(L42*M42))</f>
        <v>12.330152189891226</v>
      </c>
      <c r="P42" s="3">
        <f>+N$5/N42</f>
        <v>11.991920200733732</v>
      </c>
      <c r="Q42" s="3">
        <f>DEGREES(ATAN(1/(K42*I$11)))*60*60</f>
        <v>3.8061943672216279</v>
      </c>
      <c r="R42" s="37">
        <v>2.8</v>
      </c>
      <c r="S42" s="3">
        <f>+K42/R42</f>
        <v>142.85714285714286</v>
      </c>
      <c r="T42">
        <v>17</v>
      </c>
      <c r="U42">
        <v>13</v>
      </c>
      <c r="V42">
        <v>8</v>
      </c>
      <c r="W42" s="51"/>
      <c r="Y42" s="22">
        <v>1</v>
      </c>
      <c r="AA42" s="22">
        <v>1</v>
      </c>
      <c r="AB42" s="22">
        <v>2</v>
      </c>
      <c r="AC42" s="10"/>
      <c r="AD42" s="30">
        <v>1</v>
      </c>
      <c r="AE42" s="30">
        <v>1</v>
      </c>
      <c r="AF42" s="4"/>
      <c r="AG42" s="30">
        <v>1</v>
      </c>
      <c r="AH42" s="30">
        <v>1</v>
      </c>
      <c r="AI42" s="30">
        <v>1</v>
      </c>
      <c r="AJ42" s="4"/>
      <c r="AK42" s="13">
        <f>11.8*16</f>
        <v>188.8</v>
      </c>
      <c r="AL42" s="39">
        <v>52</v>
      </c>
      <c r="AM42" s="40">
        <v>36404</v>
      </c>
      <c r="AN42" s="18">
        <v>6499.95</v>
      </c>
    </row>
    <row r="43" spans="1:41" x14ac:dyDescent="0.25">
      <c r="A43" s="5"/>
      <c r="B43" s="5"/>
      <c r="C43" s="5"/>
      <c r="D43" s="5"/>
      <c r="E43" s="5"/>
      <c r="F43" s="5"/>
      <c r="G43" s="5"/>
      <c r="H43" s="5"/>
      <c r="I43" s="5"/>
      <c r="J43" t="s">
        <v>53</v>
      </c>
      <c r="K43" s="5"/>
      <c r="L43" s="7"/>
      <c r="M43" s="7"/>
      <c r="N43" s="7"/>
      <c r="O43" s="7"/>
      <c r="P43" s="7"/>
      <c r="Q43" s="7"/>
      <c r="R43" s="38">
        <v>4</v>
      </c>
      <c r="S43" s="3">
        <f>+K42/R43</f>
        <v>100</v>
      </c>
      <c r="T43">
        <v>17</v>
      </c>
      <c r="U43">
        <v>12</v>
      </c>
      <c r="V43">
        <v>8</v>
      </c>
      <c r="W43" s="52"/>
      <c r="X43" s="22">
        <v>1</v>
      </c>
      <c r="Y43" s="22">
        <v>1</v>
      </c>
      <c r="AA43" s="22">
        <v>1</v>
      </c>
      <c r="AC43" s="10"/>
      <c r="AD43" s="30">
        <v>1</v>
      </c>
      <c r="AE43" s="30">
        <v>1</v>
      </c>
      <c r="AF43" s="4"/>
      <c r="AG43" s="30">
        <v>1</v>
      </c>
      <c r="AH43" s="30">
        <v>1</v>
      </c>
      <c r="AI43" s="30">
        <v>1</v>
      </c>
      <c r="AJ43" s="4"/>
      <c r="AK43" s="13">
        <f>4.3*16</f>
        <v>68.8</v>
      </c>
      <c r="AL43" s="39">
        <v>52</v>
      </c>
      <c r="AM43" s="40">
        <v>37226</v>
      </c>
      <c r="AN43" s="18">
        <v>5299.95</v>
      </c>
    </row>
    <row r="44" spans="1:41" x14ac:dyDescent="0.25">
      <c r="A44" s="5"/>
      <c r="B44" s="5"/>
      <c r="C44" s="5"/>
      <c r="D44" s="5"/>
      <c r="E44" s="5"/>
      <c r="F44" s="5"/>
      <c r="G44" s="5"/>
      <c r="H44" s="5"/>
      <c r="I44" s="5"/>
      <c r="J44" t="s">
        <v>17</v>
      </c>
      <c r="K44" s="5"/>
      <c r="L44" s="7"/>
      <c r="M44" s="7"/>
      <c r="N44" s="7"/>
      <c r="O44" s="7"/>
      <c r="P44" s="7"/>
      <c r="Q44" s="7"/>
      <c r="R44" s="38">
        <v>5.6</v>
      </c>
      <c r="S44" s="3">
        <f>+K42/R44</f>
        <v>71.428571428571431</v>
      </c>
      <c r="T44">
        <v>7</v>
      </c>
      <c r="U44">
        <v>6</v>
      </c>
      <c r="V44">
        <v>8</v>
      </c>
      <c r="W44" s="51"/>
      <c r="Y44" s="22">
        <v>1</v>
      </c>
      <c r="AB44" s="22">
        <v>1</v>
      </c>
      <c r="AC44" s="22">
        <v>1</v>
      </c>
      <c r="AD44" s="30">
        <v>1</v>
      </c>
      <c r="AE44" s="30">
        <v>1</v>
      </c>
      <c r="AF44" s="4"/>
      <c r="AG44" s="4"/>
      <c r="AH44" s="4"/>
      <c r="AI44" s="4"/>
      <c r="AJ44" s="4"/>
      <c r="AK44" s="13">
        <f>2.8*16</f>
        <v>44.8</v>
      </c>
      <c r="AL44" s="39">
        <v>77</v>
      </c>
      <c r="AM44" s="40">
        <v>34090</v>
      </c>
      <c r="AN44" s="18">
        <v>1099.95</v>
      </c>
      <c r="AO44" s="18">
        <v>40</v>
      </c>
    </row>
    <row r="45" spans="1:41" x14ac:dyDescent="0.25">
      <c r="A45" s="5"/>
      <c r="B45" s="5"/>
      <c r="C45" s="5"/>
      <c r="D45" s="5"/>
      <c r="E45" s="5"/>
      <c r="F45" s="5"/>
      <c r="G45" s="5"/>
      <c r="H45" s="5"/>
      <c r="I45" s="5"/>
      <c r="J45" t="s">
        <v>23</v>
      </c>
      <c r="K45">
        <v>500</v>
      </c>
      <c r="L45" s="3">
        <f t="shared" ref="L45:L86" si="6">DEGREES(2*ATAN(D$11/2/$K45))</f>
        <v>2.5979168387042288</v>
      </c>
      <c r="M45" s="3">
        <f t="shared" ref="M45:M86" si="7">DEGREES(2*ATAN(E$11/2/$K45))</f>
        <v>1.7321094191075332</v>
      </c>
      <c r="N45" s="3">
        <f t="shared" ref="N45:N95" si="8">DEGREES(2*ATAN(SQRT(TAN(RADIANS(L45)/2)^2+TAN(RADIANS(M45)/2)^2)))</f>
        <v>3.1220697659846586</v>
      </c>
      <c r="O45" s="3">
        <f t="shared" ref="O45:O115" si="9">+SQRT(L$5*M$5/(L45*M45))</f>
        <v>15.411617671373619</v>
      </c>
      <c r="P45" s="3">
        <f t="shared" ref="P45:P67" si="10">+N$5/N45</f>
        <v>14.987814767556193</v>
      </c>
      <c r="Q45" s="3">
        <f t="shared" ref="Q45:Q86" si="11">DEGREES(ATAN(1/(K45*I$11)))*60*60</f>
        <v>3.044955493901722</v>
      </c>
      <c r="R45" s="37">
        <v>4</v>
      </c>
      <c r="S45" s="3">
        <f t="shared" ref="S45:S107" si="12">+K45/R45</f>
        <v>125</v>
      </c>
      <c r="T45">
        <v>17</v>
      </c>
      <c r="U45">
        <v>13</v>
      </c>
      <c r="V45">
        <v>8</v>
      </c>
      <c r="W45" s="51"/>
      <c r="Y45" s="22">
        <v>1</v>
      </c>
      <c r="AA45" s="22">
        <v>1</v>
      </c>
      <c r="AB45" s="22">
        <v>1</v>
      </c>
      <c r="AD45" s="30">
        <v>1</v>
      </c>
      <c r="AE45" s="30">
        <v>1</v>
      </c>
      <c r="AF45" s="4"/>
      <c r="AG45" s="30">
        <v>1</v>
      </c>
      <c r="AH45" s="30">
        <v>1</v>
      </c>
      <c r="AI45" s="30">
        <v>1</v>
      </c>
      <c r="AJ45" s="4"/>
      <c r="AK45" s="13">
        <f>8.5*16</f>
        <v>136</v>
      </c>
      <c r="AL45" s="39">
        <v>52</v>
      </c>
      <c r="AM45" s="40">
        <v>36342</v>
      </c>
      <c r="AN45" s="18">
        <v>5499.95</v>
      </c>
    </row>
    <row r="46" spans="1:41" x14ac:dyDescent="0.25">
      <c r="A46" s="5"/>
      <c r="B46" s="5"/>
      <c r="C46" s="5"/>
      <c r="D46" s="5"/>
      <c r="E46" s="5"/>
      <c r="F46" s="5"/>
      <c r="G46" s="5"/>
      <c r="H46" s="5"/>
      <c r="I46" s="5"/>
      <c r="J46" t="s">
        <v>19</v>
      </c>
      <c r="K46">
        <v>600</v>
      </c>
      <c r="L46" s="3">
        <f t="shared" si="6"/>
        <v>2.1650440314122408</v>
      </c>
      <c r="M46" s="3">
        <f t="shared" si="7"/>
        <v>1.4434581056707518</v>
      </c>
      <c r="N46" s="3">
        <f t="shared" si="8"/>
        <v>2.6019215052130589</v>
      </c>
      <c r="O46" s="3">
        <f t="shared" si="9"/>
        <v>18.493241977018535</v>
      </c>
      <c r="P46" s="3">
        <f t="shared" si="10"/>
        <v>17.984018061349595</v>
      </c>
      <c r="Q46" s="3">
        <f t="shared" si="11"/>
        <v>2.5374629116410912</v>
      </c>
      <c r="R46" s="37">
        <v>4</v>
      </c>
      <c r="S46" s="3">
        <f t="shared" si="12"/>
        <v>150</v>
      </c>
      <c r="T46">
        <v>17</v>
      </c>
      <c r="U46">
        <v>13</v>
      </c>
      <c r="V46">
        <v>8</v>
      </c>
      <c r="W46" s="51"/>
      <c r="Y46" s="22">
        <v>1</v>
      </c>
      <c r="AA46" s="22">
        <v>1</v>
      </c>
      <c r="AB46" s="22">
        <v>1</v>
      </c>
      <c r="AD46" s="30">
        <v>1</v>
      </c>
      <c r="AE46" s="30">
        <v>1</v>
      </c>
      <c r="AF46" s="4"/>
      <c r="AG46" s="30">
        <v>1</v>
      </c>
      <c r="AH46" s="30">
        <v>1</v>
      </c>
      <c r="AI46" s="30">
        <v>1</v>
      </c>
      <c r="AJ46" s="4"/>
      <c r="AK46" s="13">
        <f>11.8*16</f>
        <v>188.8</v>
      </c>
      <c r="AL46" s="39">
        <v>52</v>
      </c>
      <c r="AM46" s="40">
        <v>36404</v>
      </c>
      <c r="AN46" s="18">
        <v>7199.95</v>
      </c>
      <c r="AO46" s="18"/>
    </row>
    <row r="47" spans="1:41" x14ac:dyDescent="0.25">
      <c r="A47" s="5"/>
      <c r="B47" s="5"/>
      <c r="C47" s="5"/>
      <c r="D47" s="5"/>
      <c r="E47" s="5"/>
      <c r="F47" s="5"/>
      <c r="G47" s="5"/>
      <c r="H47" s="5"/>
      <c r="I47" s="5"/>
      <c r="J47" t="s">
        <v>20</v>
      </c>
      <c r="K47">
        <v>1200</v>
      </c>
      <c r="L47" s="3">
        <f t="shared" si="6"/>
        <v>1.0826186305184267</v>
      </c>
      <c r="M47" s="3">
        <f t="shared" si="7"/>
        <v>0.72175768370475246</v>
      </c>
      <c r="N47" s="3">
        <f t="shared" si="8"/>
        <v>1.3011284565624355</v>
      </c>
      <c r="O47" s="3">
        <f t="shared" si="9"/>
        <v>36.984099978187572</v>
      </c>
      <c r="P47" s="3">
        <f t="shared" si="10"/>
        <v>35.963400160805094</v>
      </c>
      <c r="Q47" s="3">
        <f t="shared" si="11"/>
        <v>1.2687314558685476</v>
      </c>
      <c r="R47" s="37">
        <v>5.6</v>
      </c>
      <c r="S47" s="3">
        <f t="shared" si="12"/>
        <v>214.28571428571431</v>
      </c>
      <c r="T47">
        <v>13</v>
      </c>
      <c r="U47">
        <v>10</v>
      </c>
      <c r="V47">
        <v>8</v>
      </c>
      <c r="W47" s="51"/>
      <c r="Y47" s="22">
        <v>1</v>
      </c>
      <c r="AA47" s="22">
        <v>1</v>
      </c>
      <c r="AD47" s="30">
        <v>1</v>
      </c>
      <c r="AE47" s="30">
        <v>1</v>
      </c>
      <c r="AF47" s="4"/>
      <c r="AG47" s="30">
        <v>1</v>
      </c>
      <c r="AH47" s="4"/>
      <c r="AI47" s="4"/>
      <c r="AJ47" s="4"/>
      <c r="AK47" s="13">
        <f>36.4*16</f>
        <v>582.4</v>
      </c>
      <c r="AL47" s="39">
        <v>48</v>
      </c>
      <c r="AM47" s="40">
        <v>34151</v>
      </c>
      <c r="AN47" s="15" t="e">
        <v>#N/A</v>
      </c>
    </row>
    <row r="48" spans="1:41" x14ac:dyDescent="0.25">
      <c r="A48" s="5"/>
      <c r="B48" s="5"/>
      <c r="C48" s="5"/>
      <c r="D48" s="5"/>
      <c r="E48" s="5"/>
      <c r="F48" s="5"/>
      <c r="G48" s="5"/>
      <c r="H48" s="5"/>
      <c r="I48" s="5"/>
      <c r="J48" s="35" t="s">
        <v>99</v>
      </c>
      <c r="K48">
        <v>12</v>
      </c>
      <c r="L48" s="3">
        <f t="shared" si="6"/>
        <v>86.747837765788248</v>
      </c>
      <c r="M48" s="3">
        <f t="shared" si="7"/>
        <v>64.410429886986194</v>
      </c>
      <c r="N48" s="3">
        <f t="shared" si="8"/>
        <v>97.261114322035937</v>
      </c>
      <c r="O48" s="3">
        <f>+SQRT(L$5*M$5/(L48*M48))</f>
        <v>0.43736203592730372</v>
      </c>
      <c r="P48" s="3">
        <f t="shared" si="10"/>
        <v>0.48110700427543762</v>
      </c>
      <c r="Q48" s="3">
        <f t="shared" si="11"/>
        <v>126.8731295878093</v>
      </c>
      <c r="R48" s="37">
        <v>4.5</v>
      </c>
      <c r="S48" s="3">
        <f t="shared" si="12"/>
        <v>2.6666666666666665</v>
      </c>
      <c r="T48">
        <v>16</v>
      </c>
      <c r="U48">
        <v>12</v>
      </c>
      <c r="V48">
        <v>6</v>
      </c>
      <c r="Y48" s="22" t="s">
        <v>89</v>
      </c>
      <c r="Z48" s="22" t="s">
        <v>89</v>
      </c>
      <c r="AA48" s="10"/>
      <c r="AB48" s="10"/>
      <c r="AC48" s="10"/>
      <c r="AD48" s="22" t="s">
        <v>89</v>
      </c>
      <c r="AE48" s="31"/>
      <c r="AF48" s="31"/>
      <c r="AG48" s="31"/>
      <c r="AH48" s="4"/>
      <c r="AI48" s="4"/>
      <c r="AJ48" s="4"/>
      <c r="AK48" s="13">
        <v>21.6</v>
      </c>
      <c r="AL48" s="39" t="e">
        <f>NA()</f>
        <v>#N/A</v>
      </c>
      <c r="AM48" s="40"/>
      <c r="AN48" s="18">
        <v>709</v>
      </c>
    </row>
    <row r="49" spans="1:41" x14ac:dyDescent="0.25">
      <c r="A49" s="5"/>
      <c r="B49" s="5"/>
      <c r="C49" s="5"/>
      <c r="D49" s="5"/>
      <c r="E49" s="5"/>
      <c r="F49" s="5"/>
      <c r="G49" s="5"/>
      <c r="H49" s="5"/>
      <c r="I49" s="5"/>
      <c r="J49" s="5"/>
      <c r="K49">
        <v>24</v>
      </c>
      <c r="L49" s="3">
        <f t="shared" si="6"/>
        <v>50.571683422444558</v>
      </c>
      <c r="M49" s="3">
        <f t="shared" si="7"/>
        <v>34.961595131197811</v>
      </c>
      <c r="N49" s="3">
        <f t="shared" si="8"/>
        <v>59.171382835438529</v>
      </c>
      <c r="O49" s="3">
        <f>+SQRT(L$5*M$5/(L49*M49))</f>
        <v>0.77749783036947084</v>
      </c>
      <c r="P49" s="3">
        <f t="shared" si="10"/>
        <v>0.79080462719794031</v>
      </c>
      <c r="Q49" s="3">
        <f t="shared" si="11"/>
        <v>63.436570794146384</v>
      </c>
      <c r="R49" s="37">
        <v>5.6</v>
      </c>
      <c r="S49" s="3">
        <f t="shared" si="12"/>
        <v>4.2857142857142856</v>
      </c>
      <c r="T49" s="5"/>
      <c r="U49" s="5"/>
      <c r="V49" s="5"/>
      <c r="W49" s="5"/>
      <c r="X49" s="5"/>
      <c r="Y49" s="5"/>
      <c r="Z49" s="5"/>
      <c r="AA49" s="5"/>
      <c r="AB49" s="5"/>
      <c r="AC49" s="5"/>
      <c r="AD49" s="32"/>
      <c r="AE49" s="32"/>
      <c r="AF49" s="32"/>
      <c r="AG49" s="32"/>
      <c r="AH49" s="32"/>
      <c r="AI49" s="32"/>
      <c r="AJ49" s="32"/>
      <c r="AK49" s="16"/>
      <c r="AL49" s="42"/>
      <c r="AM49" s="16"/>
      <c r="AN49" s="21"/>
    </row>
    <row r="50" spans="1:41" x14ac:dyDescent="0.25">
      <c r="A50" s="5"/>
      <c r="B50" s="5"/>
      <c r="C50" s="5"/>
      <c r="D50" s="5"/>
      <c r="E50" s="5"/>
      <c r="F50" s="5"/>
      <c r="G50" s="5"/>
      <c r="H50" s="5"/>
      <c r="I50" s="5"/>
      <c r="J50" s="35" t="s">
        <v>90</v>
      </c>
      <c r="K50">
        <v>15</v>
      </c>
      <c r="L50" s="3">
        <f t="shared" si="6"/>
        <v>74.166373785974898</v>
      </c>
      <c r="M50" s="3">
        <f t="shared" si="7"/>
        <v>53.4860265881467</v>
      </c>
      <c r="N50" s="3">
        <f t="shared" si="8"/>
        <v>84.503893601406276</v>
      </c>
      <c r="O50" s="3">
        <f>+SQRT(L$5*M$5/(L50*M50))</f>
        <v>0.51906867415699143</v>
      </c>
      <c r="P50" s="3">
        <f t="shared" si="10"/>
        <v>0.55373783798273246</v>
      </c>
      <c r="Q50" s="3">
        <f t="shared" si="11"/>
        <v>101.49850827843269</v>
      </c>
      <c r="R50" s="37">
        <v>3.5</v>
      </c>
      <c r="S50" s="3">
        <f t="shared" si="12"/>
        <v>4.2857142857142856</v>
      </c>
      <c r="T50">
        <v>17</v>
      </c>
      <c r="U50">
        <v>13</v>
      </c>
      <c r="V50">
        <v>8</v>
      </c>
      <c r="Y50" s="10"/>
      <c r="Z50" s="22" t="s">
        <v>89</v>
      </c>
      <c r="AA50" s="10"/>
      <c r="AB50" s="10"/>
      <c r="AC50" s="10"/>
      <c r="AD50" s="30" t="s">
        <v>89</v>
      </c>
      <c r="AE50" s="31"/>
      <c r="AF50" s="31"/>
      <c r="AG50" s="31"/>
      <c r="AH50" s="4"/>
      <c r="AI50" s="4"/>
      <c r="AJ50" s="4"/>
      <c r="AK50" s="13">
        <v>21.8</v>
      </c>
      <c r="AL50" s="39"/>
      <c r="AM50" s="40"/>
      <c r="AN50" s="18">
        <v>499</v>
      </c>
      <c r="AO50" s="18"/>
    </row>
    <row r="51" spans="1:41" x14ac:dyDescent="0.25">
      <c r="A51" s="5"/>
      <c r="B51" s="5"/>
      <c r="C51" s="5"/>
      <c r="D51" s="5"/>
      <c r="E51" s="5"/>
      <c r="F51" s="5"/>
      <c r="G51" s="5"/>
      <c r="H51" s="5"/>
      <c r="I51" s="5"/>
      <c r="J51" s="5"/>
      <c r="K51">
        <v>30</v>
      </c>
      <c r="L51" s="3">
        <f t="shared" si="6"/>
        <v>41.404805573873354</v>
      </c>
      <c r="M51" s="3">
        <f t="shared" si="7"/>
        <v>28.282084342774802</v>
      </c>
      <c r="N51" s="3">
        <f t="shared" si="8"/>
        <v>48.855005469209942</v>
      </c>
      <c r="O51" s="3">
        <f>+SQRT(L$5*M$5/(L51*M51))</f>
        <v>0.95536082599201011</v>
      </c>
      <c r="P51" s="3">
        <f t="shared" si="10"/>
        <v>0.95779343169772213</v>
      </c>
      <c r="Q51" s="3">
        <f t="shared" si="11"/>
        <v>50.749257211340421</v>
      </c>
      <c r="R51" s="37">
        <v>4.5</v>
      </c>
      <c r="S51" s="3">
        <f t="shared" si="12"/>
        <v>6.666666666666667</v>
      </c>
      <c r="T51" s="5"/>
      <c r="U51" s="5"/>
      <c r="V51" s="5"/>
      <c r="W51" s="5"/>
      <c r="X51" s="5"/>
      <c r="Y51" s="5"/>
      <c r="Z51" s="5"/>
      <c r="AA51" s="5"/>
      <c r="AB51" s="5"/>
      <c r="AC51" s="5"/>
      <c r="AD51" s="32"/>
      <c r="AE51" s="32"/>
      <c r="AF51" s="32"/>
      <c r="AG51" s="32"/>
      <c r="AH51" s="32"/>
      <c r="AI51" s="32"/>
      <c r="AJ51" s="32"/>
      <c r="AK51" s="16"/>
      <c r="AL51" s="42"/>
      <c r="AM51" s="16"/>
      <c r="AN51" s="21"/>
    </row>
    <row r="52" spans="1:41" x14ac:dyDescent="0.25">
      <c r="A52" s="5"/>
      <c r="B52" s="5"/>
      <c r="C52" s="5"/>
      <c r="D52" s="5"/>
      <c r="E52" s="5"/>
      <c r="F52" s="5"/>
      <c r="G52" s="5"/>
      <c r="H52" s="5"/>
      <c r="I52" s="5"/>
      <c r="J52" t="s">
        <v>54</v>
      </c>
      <c r="K52">
        <v>16</v>
      </c>
      <c r="L52" s="3">
        <f t="shared" si="6"/>
        <v>70.642262951849318</v>
      </c>
      <c r="M52" s="3">
        <f t="shared" si="7"/>
        <v>50.571683422444558</v>
      </c>
      <c r="N52" s="3">
        <f t="shared" si="8"/>
        <v>80.836970994658117</v>
      </c>
      <c r="O52" s="3">
        <f t="shared" si="9"/>
        <v>0.54696873669986534</v>
      </c>
      <c r="P52" s="3">
        <f t="shared" si="10"/>
        <v>0.57885646589922024</v>
      </c>
      <c r="Q52" s="3">
        <f t="shared" si="11"/>
        <v>95.15485244106813</v>
      </c>
      <c r="R52" s="37">
        <v>2.8</v>
      </c>
      <c r="S52" s="3">
        <f t="shared" si="12"/>
        <v>5.7142857142857144</v>
      </c>
      <c r="T52">
        <v>14</v>
      </c>
      <c r="U52">
        <v>10</v>
      </c>
      <c r="V52">
        <v>7</v>
      </c>
      <c r="W52" s="51"/>
      <c r="Y52" s="22">
        <v>1</v>
      </c>
      <c r="Z52" s="22">
        <v>3</v>
      </c>
      <c r="AB52" s="22">
        <v>2</v>
      </c>
      <c r="AD52" s="30">
        <v>1</v>
      </c>
      <c r="AE52" s="30">
        <v>1</v>
      </c>
      <c r="AF52" s="30">
        <v>1</v>
      </c>
      <c r="AG52" s="4"/>
      <c r="AH52" s="4"/>
      <c r="AI52" s="4"/>
      <c r="AJ52" s="4"/>
      <c r="AK52" s="15">
        <v>21.2</v>
      </c>
      <c r="AL52" s="43">
        <v>77</v>
      </c>
      <c r="AM52" s="40">
        <v>37226</v>
      </c>
      <c r="AN52" s="18">
        <v>1399.95</v>
      </c>
      <c r="AO52" s="18">
        <v>50</v>
      </c>
    </row>
    <row r="53" spans="1:41" x14ac:dyDescent="0.25">
      <c r="A53" s="5"/>
      <c r="B53" s="5"/>
      <c r="C53" s="5"/>
      <c r="D53" s="5"/>
      <c r="E53" s="5"/>
      <c r="F53" s="5"/>
      <c r="G53" s="5"/>
      <c r="H53" s="5"/>
      <c r="I53" s="5"/>
      <c r="J53" s="5"/>
      <c r="K53">
        <v>35</v>
      </c>
      <c r="L53" s="3">
        <f t="shared" si="6"/>
        <v>35.897220543647897</v>
      </c>
      <c r="M53" s="3">
        <f t="shared" si="7"/>
        <v>24.372038482312799</v>
      </c>
      <c r="N53" s="3">
        <f t="shared" si="8"/>
        <v>42.543265370802196</v>
      </c>
      <c r="O53" s="3">
        <f t="shared" si="9"/>
        <v>1.1052796435061518</v>
      </c>
      <c r="P53" s="3">
        <f t="shared" si="10"/>
        <v>1.0998921435889595</v>
      </c>
      <c r="Q53" s="3">
        <f t="shared" si="11"/>
        <v>43.499363556878478</v>
      </c>
      <c r="R53" s="37">
        <f>+R52</f>
        <v>2.8</v>
      </c>
      <c r="S53" s="3">
        <f t="shared" si="12"/>
        <v>12.5</v>
      </c>
      <c r="T53" s="5"/>
      <c r="U53" s="5"/>
      <c r="V53" s="5"/>
      <c r="W53" s="5"/>
      <c r="X53" s="5"/>
      <c r="Y53" s="5"/>
      <c r="Z53" s="5"/>
      <c r="AA53" s="5"/>
      <c r="AB53" s="5"/>
      <c r="AC53" s="5"/>
      <c r="AD53" s="5"/>
      <c r="AE53" s="5"/>
      <c r="AF53" s="5"/>
      <c r="AG53" s="5"/>
      <c r="AH53" s="5"/>
      <c r="AI53" s="5"/>
      <c r="AJ53" s="5"/>
      <c r="AK53" s="21"/>
      <c r="AL53" s="44"/>
      <c r="AM53" s="21"/>
      <c r="AN53" s="21"/>
    </row>
    <row r="54" spans="1:41" x14ac:dyDescent="0.25">
      <c r="A54" s="5"/>
      <c r="B54" s="5"/>
      <c r="C54" s="5"/>
      <c r="D54" s="5"/>
      <c r="E54" s="5"/>
      <c r="F54" s="5"/>
      <c r="G54" s="5"/>
      <c r="H54" s="5"/>
      <c r="I54" s="5"/>
      <c r="J54" t="s">
        <v>55</v>
      </c>
      <c r="K54">
        <v>17</v>
      </c>
      <c r="L54" s="3">
        <f t="shared" si="6"/>
        <v>67.399544971763575</v>
      </c>
      <c r="M54" s="3">
        <f t="shared" si="7"/>
        <v>47.940586743651181</v>
      </c>
      <c r="N54" s="3">
        <f t="shared" si="8"/>
        <v>77.426281875498773</v>
      </c>
      <c r="O54" s="3">
        <f t="shared" si="9"/>
        <v>0.57513309087952924</v>
      </c>
      <c r="P54" s="3">
        <f t="shared" si="10"/>
        <v>0.60435555228144078</v>
      </c>
      <c r="Q54" s="3">
        <f t="shared" si="11"/>
        <v>89.557508905280429</v>
      </c>
      <c r="R54" s="37">
        <v>4</v>
      </c>
      <c r="S54" s="3">
        <f t="shared" si="12"/>
        <v>4.25</v>
      </c>
      <c r="T54">
        <v>12</v>
      </c>
      <c r="U54">
        <v>9</v>
      </c>
      <c r="V54">
        <v>7</v>
      </c>
      <c r="W54" s="51"/>
      <c r="Y54" s="22">
        <v>1</v>
      </c>
      <c r="Z54" s="22">
        <v>3</v>
      </c>
      <c r="AC54" s="22">
        <v>1</v>
      </c>
      <c r="AD54" s="30">
        <v>1</v>
      </c>
      <c r="AE54" s="30">
        <v>1</v>
      </c>
      <c r="AF54" s="30">
        <v>1</v>
      </c>
      <c r="AG54" s="4"/>
      <c r="AH54" s="4"/>
      <c r="AI54" s="4"/>
      <c r="AJ54" s="4"/>
      <c r="AK54" s="15">
        <v>17.600000000000001</v>
      </c>
      <c r="AL54" s="43">
        <v>77</v>
      </c>
      <c r="AM54" s="40">
        <v>37742</v>
      </c>
      <c r="AN54" s="18">
        <v>679.95</v>
      </c>
      <c r="AO54" s="18">
        <v>25</v>
      </c>
    </row>
    <row r="55" spans="1:41" x14ac:dyDescent="0.25">
      <c r="A55" s="5"/>
      <c r="B55" s="5"/>
      <c r="C55" s="5"/>
      <c r="D55" s="5"/>
      <c r="E55" s="5"/>
      <c r="F55" s="5"/>
      <c r="G55" s="5"/>
      <c r="H55" s="5"/>
      <c r="I55" s="5"/>
      <c r="J55" s="5"/>
      <c r="K55">
        <v>40</v>
      </c>
      <c r="L55" s="3">
        <f t="shared" si="6"/>
        <v>31.649418904872494</v>
      </c>
      <c r="M55" s="3">
        <f t="shared" si="7"/>
        <v>21.400692271136315</v>
      </c>
      <c r="N55" s="3">
        <f t="shared" si="8"/>
        <v>37.622744876770355</v>
      </c>
      <c r="O55" s="3">
        <f t="shared" si="9"/>
        <v>1.2561795797354189</v>
      </c>
      <c r="P55" s="3">
        <f t="shared" si="10"/>
        <v>1.2437424089398981</v>
      </c>
      <c r="Q55" s="3">
        <f t="shared" si="11"/>
        <v>38.061943244518929</v>
      </c>
      <c r="R55" s="37">
        <f>+R54</f>
        <v>4</v>
      </c>
      <c r="S55" s="3">
        <f t="shared" si="12"/>
        <v>10</v>
      </c>
      <c r="T55" s="5"/>
      <c r="U55" s="5"/>
      <c r="V55" s="5"/>
      <c r="W55" s="5"/>
      <c r="X55" s="5"/>
      <c r="Y55" s="5"/>
      <c r="Z55" s="5"/>
      <c r="AA55" s="5"/>
      <c r="AB55" s="5"/>
      <c r="AC55" s="5"/>
      <c r="AD55" s="5"/>
      <c r="AE55" s="5"/>
      <c r="AF55" s="5"/>
      <c r="AG55" s="5"/>
      <c r="AH55" s="5"/>
      <c r="AI55" s="5"/>
      <c r="AJ55" s="5"/>
      <c r="AK55" s="21"/>
      <c r="AL55" s="44"/>
      <c r="AM55" s="21"/>
      <c r="AN55" s="21"/>
    </row>
    <row r="56" spans="1:41" x14ac:dyDescent="0.25">
      <c r="A56" s="5"/>
      <c r="B56" s="5"/>
      <c r="C56" s="5"/>
      <c r="D56" s="5"/>
      <c r="E56" s="5"/>
      <c r="F56" s="5"/>
      <c r="G56" s="5"/>
      <c r="H56" s="5"/>
      <c r="I56" s="5"/>
      <c r="J56" t="s">
        <v>56</v>
      </c>
      <c r="K56">
        <v>20</v>
      </c>
      <c r="L56" s="3">
        <f t="shared" si="6"/>
        <v>59.095603602510621</v>
      </c>
      <c r="M56" s="3">
        <f t="shared" si="7"/>
        <v>41.404805573873354</v>
      </c>
      <c r="N56" s="3">
        <f t="shared" si="8"/>
        <v>68.533095005978012</v>
      </c>
      <c r="O56" s="3">
        <f t="shared" si="9"/>
        <v>0.66091490987045731</v>
      </c>
      <c r="P56" s="3">
        <f t="shared" si="10"/>
        <v>0.6827796605404135</v>
      </c>
      <c r="Q56" s="3">
        <f t="shared" si="11"/>
        <v>76.123883896932966</v>
      </c>
      <c r="R56" s="37">
        <v>3.5</v>
      </c>
      <c r="S56" s="3">
        <f t="shared" si="12"/>
        <v>5.7142857142857144</v>
      </c>
      <c r="T56">
        <v>12</v>
      </c>
      <c r="U56">
        <v>11</v>
      </c>
      <c r="V56">
        <v>5</v>
      </c>
      <c r="Y56" s="22">
        <v>1</v>
      </c>
      <c r="AD56" s="30">
        <v>1</v>
      </c>
      <c r="AE56" s="30">
        <v>1</v>
      </c>
      <c r="AF56" s="4"/>
      <c r="AG56" s="4"/>
      <c r="AH56" s="4"/>
      <c r="AI56" s="4"/>
      <c r="AJ56" s="4"/>
      <c r="AK56" s="15">
        <v>12</v>
      </c>
      <c r="AL56" s="43">
        <v>77</v>
      </c>
      <c r="AM56" s="40">
        <v>34029</v>
      </c>
      <c r="AN56" s="18">
        <v>369.95</v>
      </c>
      <c r="AO56" s="18"/>
    </row>
    <row r="57" spans="1:41" x14ac:dyDescent="0.25">
      <c r="A57" s="5"/>
      <c r="B57" s="5"/>
      <c r="C57" s="5"/>
      <c r="D57" s="5"/>
      <c r="E57" s="5"/>
      <c r="F57" s="5"/>
      <c r="G57" s="5"/>
      <c r="H57" s="5"/>
      <c r="I57" s="5"/>
      <c r="J57" s="5"/>
      <c r="K57">
        <v>35</v>
      </c>
      <c r="L57" s="3">
        <f t="shared" si="6"/>
        <v>35.897220543647897</v>
      </c>
      <c r="M57" s="3">
        <f t="shared" si="7"/>
        <v>24.372038482312799</v>
      </c>
      <c r="N57" s="3">
        <f t="shared" si="8"/>
        <v>42.543265370802196</v>
      </c>
      <c r="O57" s="3">
        <f t="shared" si="9"/>
        <v>1.1052796435061518</v>
      </c>
      <c r="P57" s="3">
        <f t="shared" si="10"/>
        <v>1.0998921435889595</v>
      </c>
      <c r="Q57" s="3">
        <f t="shared" si="11"/>
        <v>43.499363556878478</v>
      </c>
      <c r="R57" s="37">
        <v>4.5</v>
      </c>
      <c r="S57" s="3">
        <f t="shared" si="12"/>
        <v>7.7777777777777777</v>
      </c>
      <c r="T57" s="5"/>
      <c r="U57" s="5"/>
      <c r="V57" s="5"/>
      <c r="W57" s="5"/>
      <c r="X57" s="5"/>
      <c r="Y57" s="5"/>
      <c r="Z57" s="5"/>
      <c r="AA57" s="5"/>
      <c r="AB57" s="5"/>
      <c r="AC57" s="5"/>
      <c r="AD57" s="5"/>
      <c r="AE57" s="5"/>
      <c r="AF57" s="5"/>
      <c r="AG57" s="5"/>
      <c r="AH57" s="5"/>
      <c r="AI57" s="5"/>
      <c r="AJ57" s="5"/>
      <c r="AK57" s="21"/>
      <c r="AL57" s="44"/>
      <c r="AM57" s="21"/>
      <c r="AN57" s="21"/>
    </row>
    <row r="58" spans="1:41" x14ac:dyDescent="0.25">
      <c r="A58" s="5"/>
      <c r="B58" s="5"/>
      <c r="C58" s="5"/>
      <c r="D58" s="5"/>
      <c r="E58" s="5"/>
      <c r="F58" s="5"/>
      <c r="G58" s="5"/>
      <c r="H58" s="5"/>
      <c r="I58" s="5"/>
      <c r="J58" s="10" t="s">
        <v>85</v>
      </c>
      <c r="K58">
        <v>24</v>
      </c>
      <c r="L58" s="3">
        <f t="shared" si="6"/>
        <v>50.571683422444558</v>
      </c>
      <c r="M58" s="3">
        <f t="shared" si="7"/>
        <v>34.961595131197811</v>
      </c>
      <c r="N58" s="3">
        <f t="shared" si="8"/>
        <v>59.171382835438529</v>
      </c>
      <c r="O58" s="3">
        <f t="shared" si="9"/>
        <v>0.77749783036947084</v>
      </c>
      <c r="P58" s="3">
        <f t="shared" si="10"/>
        <v>0.79080462719794031</v>
      </c>
      <c r="Q58" s="3">
        <f t="shared" si="11"/>
        <v>63.436570794146384</v>
      </c>
      <c r="R58" s="37">
        <v>2.8</v>
      </c>
      <c r="S58" s="3">
        <f t="shared" si="12"/>
        <v>8.5714285714285712</v>
      </c>
      <c r="T58" s="10">
        <v>16</v>
      </c>
      <c r="U58" s="10">
        <v>13</v>
      </c>
      <c r="V58" s="10">
        <v>8</v>
      </c>
      <c r="W58" s="51"/>
      <c r="X58" s="10"/>
      <c r="Y58" s="22">
        <v>1</v>
      </c>
      <c r="Z58" s="22">
        <v>2</v>
      </c>
      <c r="AA58" s="10"/>
      <c r="AB58" s="22">
        <v>1</v>
      </c>
      <c r="AC58" s="10"/>
      <c r="AD58" s="22">
        <v>1</v>
      </c>
      <c r="AE58" s="22">
        <v>1</v>
      </c>
      <c r="AF58" s="22">
        <v>1</v>
      </c>
      <c r="AG58" s="10"/>
      <c r="AH58" s="10"/>
      <c r="AI58" s="10"/>
      <c r="AJ58" s="10"/>
      <c r="AK58" s="23">
        <f>2.1*16</f>
        <v>33.6</v>
      </c>
      <c r="AL58" s="45">
        <v>77</v>
      </c>
      <c r="AM58" s="40">
        <v>37561</v>
      </c>
      <c r="AN58" s="18">
        <v>1149.95</v>
      </c>
      <c r="AO58" s="18">
        <v>45</v>
      </c>
    </row>
    <row r="59" spans="1:41" x14ac:dyDescent="0.25">
      <c r="A59" s="5"/>
      <c r="B59" s="5"/>
      <c r="C59" s="5"/>
      <c r="D59" s="5"/>
      <c r="E59" s="5"/>
      <c r="F59" s="5"/>
      <c r="G59" s="5"/>
      <c r="H59" s="5"/>
      <c r="I59" s="5"/>
      <c r="J59" s="35" t="s">
        <v>128</v>
      </c>
      <c r="K59" s="10">
        <v>70</v>
      </c>
      <c r="L59" s="28">
        <f t="shared" si="6"/>
        <v>18.399947424003894</v>
      </c>
      <c r="M59" s="28">
        <f t="shared" si="7"/>
        <v>12.325400531501046</v>
      </c>
      <c r="N59" s="28">
        <f t="shared" si="8"/>
        <v>22.030520378535542</v>
      </c>
      <c r="O59" s="28">
        <f t="shared" si="9"/>
        <v>2.1708994022674246</v>
      </c>
      <c r="P59" s="28">
        <f t="shared" si="10"/>
        <v>2.1240080824217049</v>
      </c>
      <c r="Q59" s="28">
        <f t="shared" si="11"/>
        <v>21.749682020268285</v>
      </c>
      <c r="R59" s="38">
        <f>+R58</f>
        <v>2.8</v>
      </c>
      <c r="S59" s="28">
        <f t="shared" si="12"/>
        <v>25</v>
      </c>
      <c r="T59" s="10">
        <v>14</v>
      </c>
      <c r="U59" s="10">
        <v>13</v>
      </c>
      <c r="V59" s="10">
        <v>9</v>
      </c>
      <c r="W59" s="10"/>
      <c r="X59" s="10"/>
      <c r="Y59" s="10"/>
      <c r="Z59" s="22">
        <v>3</v>
      </c>
      <c r="AA59" s="10"/>
      <c r="AB59" s="10"/>
      <c r="AC59" s="22">
        <v>2</v>
      </c>
      <c r="AD59" s="22">
        <v>1</v>
      </c>
      <c r="AE59" s="10" t="s">
        <v>41</v>
      </c>
      <c r="AF59" s="10" t="s">
        <v>41</v>
      </c>
      <c r="AG59" s="10"/>
      <c r="AH59" s="10"/>
      <c r="AI59" s="10"/>
      <c r="AJ59" s="10" t="s">
        <v>41</v>
      </c>
      <c r="AK59" s="23">
        <v>24.7</v>
      </c>
      <c r="AL59" s="45">
        <v>82</v>
      </c>
      <c r="AM59" s="54">
        <v>2001</v>
      </c>
      <c r="AN59" s="18">
        <v>439</v>
      </c>
    </row>
    <row r="60" spans="1:41" x14ac:dyDescent="0.25">
      <c r="A60" s="5"/>
      <c r="B60" s="5"/>
      <c r="C60" s="5"/>
      <c r="D60" s="5"/>
      <c r="E60" s="5"/>
      <c r="F60" s="5"/>
      <c r="G60" s="5"/>
      <c r="H60" s="5"/>
      <c r="I60" s="5"/>
      <c r="J60" s="10" t="s">
        <v>57</v>
      </c>
      <c r="K60">
        <v>24</v>
      </c>
      <c r="L60" s="3">
        <f t="shared" si="6"/>
        <v>50.571683422444558</v>
      </c>
      <c r="M60" s="3">
        <f t="shared" si="7"/>
        <v>34.961595131197811</v>
      </c>
      <c r="N60" s="3">
        <f t="shared" si="8"/>
        <v>59.171382835438529</v>
      </c>
      <c r="O60" s="3">
        <f t="shared" si="9"/>
        <v>0.77749783036947084</v>
      </c>
      <c r="P60" s="3">
        <f t="shared" si="10"/>
        <v>0.79080462719794031</v>
      </c>
      <c r="Q60" s="3">
        <f t="shared" si="11"/>
        <v>63.436570794146384</v>
      </c>
      <c r="R60" s="37">
        <v>3.5</v>
      </c>
      <c r="S60" s="3">
        <f t="shared" si="12"/>
        <v>6.8571428571428568</v>
      </c>
      <c r="T60" s="10">
        <v>15</v>
      </c>
      <c r="U60" s="10">
        <v>12</v>
      </c>
      <c r="V60" s="10">
        <v>6</v>
      </c>
      <c r="W60" s="10"/>
      <c r="X60" s="10"/>
      <c r="Y60" s="22">
        <v>1</v>
      </c>
      <c r="Z60" s="22">
        <v>1</v>
      </c>
      <c r="AA60" s="10"/>
      <c r="AB60" s="10"/>
      <c r="AC60" s="10"/>
      <c r="AD60" s="22">
        <v>1</v>
      </c>
      <c r="AE60" s="22">
        <v>1</v>
      </c>
      <c r="AF60" s="10"/>
      <c r="AG60" s="10"/>
      <c r="AH60" s="10"/>
      <c r="AI60" s="10"/>
      <c r="AJ60" s="10"/>
      <c r="AK60" s="23">
        <v>13.4</v>
      </c>
      <c r="AL60" s="45">
        <v>67</v>
      </c>
      <c r="AM60" s="40">
        <v>35309</v>
      </c>
      <c r="AN60" s="18">
        <v>309.95</v>
      </c>
    </row>
    <row r="61" spans="1:41" x14ac:dyDescent="0.25">
      <c r="A61" s="5"/>
      <c r="B61" s="5"/>
      <c r="C61" s="5"/>
      <c r="D61" s="5"/>
      <c r="E61" s="5"/>
      <c r="F61" s="5"/>
      <c r="G61" s="5"/>
      <c r="H61" s="5"/>
      <c r="I61" s="5"/>
      <c r="J61" s="5"/>
      <c r="K61">
        <v>85</v>
      </c>
      <c r="L61" s="3">
        <f t="shared" si="6"/>
        <v>15.194796689990095</v>
      </c>
      <c r="M61" s="3">
        <f t="shared" si="7"/>
        <v>10.162925030128962</v>
      </c>
      <c r="N61" s="3">
        <f t="shared" si="8"/>
        <v>18.214690593960974</v>
      </c>
      <c r="O61" s="3">
        <f t="shared" si="9"/>
        <v>2.6308234420602283</v>
      </c>
      <c r="P61" s="3">
        <f t="shared" si="10"/>
        <v>2.5689705297261352</v>
      </c>
      <c r="Q61" s="3">
        <f t="shared" si="11"/>
        <v>17.911502861583408</v>
      </c>
      <c r="R61" s="37">
        <v>4.5</v>
      </c>
      <c r="S61" s="3">
        <f t="shared" si="12"/>
        <v>18.888888888888889</v>
      </c>
      <c r="T61" s="5"/>
      <c r="U61" s="5"/>
      <c r="V61" s="5"/>
      <c r="W61" s="5"/>
      <c r="X61" s="5"/>
      <c r="Y61" s="5"/>
      <c r="Z61" s="5"/>
      <c r="AA61" s="5"/>
      <c r="AB61" s="5"/>
      <c r="AC61" s="5"/>
      <c r="AD61" s="5"/>
      <c r="AE61" s="5"/>
      <c r="AF61" s="5"/>
      <c r="AG61" s="5"/>
      <c r="AH61" s="5"/>
      <c r="AI61" s="5"/>
      <c r="AJ61" s="5"/>
      <c r="AK61" s="21"/>
      <c r="AL61" s="44"/>
      <c r="AM61" s="21"/>
      <c r="AN61" s="21"/>
    </row>
    <row r="62" spans="1:41" x14ac:dyDescent="0.25">
      <c r="A62" s="5"/>
      <c r="B62" s="5"/>
      <c r="C62" s="5"/>
      <c r="D62" s="5"/>
      <c r="E62" s="5"/>
      <c r="F62" s="5"/>
      <c r="G62" s="5"/>
      <c r="H62" s="5"/>
      <c r="I62" s="5"/>
      <c r="J62" s="10" t="s">
        <v>135</v>
      </c>
      <c r="K62">
        <v>24</v>
      </c>
      <c r="L62" s="3">
        <f t="shared" si="6"/>
        <v>50.571683422444558</v>
      </c>
      <c r="M62" s="3">
        <f t="shared" si="7"/>
        <v>34.961595131197811</v>
      </c>
      <c r="N62" s="3">
        <f t="shared" si="8"/>
        <v>59.171382835438529</v>
      </c>
      <c r="O62" s="3">
        <f t="shared" si="9"/>
        <v>0.77749783036947084</v>
      </c>
      <c r="P62" s="3">
        <f t="shared" si="10"/>
        <v>0.79080462719794031</v>
      </c>
      <c r="Q62" s="3">
        <f t="shared" si="11"/>
        <v>63.436570794146384</v>
      </c>
      <c r="R62" s="37">
        <v>4</v>
      </c>
      <c r="S62" s="3">
        <f t="shared" si="12"/>
        <v>6</v>
      </c>
      <c r="T62" s="10">
        <v>18</v>
      </c>
      <c r="U62" s="10">
        <v>13</v>
      </c>
      <c r="V62" s="10">
        <v>8</v>
      </c>
      <c r="W62" s="51"/>
      <c r="X62" s="10"/>
      <c r="Y62" s="22">
        <v>1</v>
      </c>
      <c r="Z62" s="22">
        <v>3</v>
      </c>
      <c r="AA62" s="10"/>
      <c r="AB62" s="10"/>
      <c r="AC62" s="22">
        <v>1</v>
      </c>
      <c r="AD62" s="22">
        <v>1</v>
      </c>
      <c r="AE62" s="22">
        <v>1</v>
      </c>
      <c r="AF62" s="22">
        <v>1</v>
      </c>
      <c r="AG62" s="10"/>
      <c r="AH62" s="30">
        <v>1</v>
      </c>
      <c r="AI62" s="10"/>
      <c r="AJ62" s="10"/>
      <c r="AK62" s="23">
        <v>23.6</v>
      </c>
      <c r="AL62" s="45">
        <v>77</v>
      </c>
      <c r="AM62" s="40">
        <v>38586</v>
      </c>
      <c r="AN62" s="56" t="s">
        <v>137</v>
      </c>
    </row>
    <row r="63" spans="1:41" x14ac:dyDescent="0.25">
      <c r="A63" s="5"/>
      <c r="B63" s="5"/>
      <c r="C63" s="5"/>
      <c r="D63" s="5"/>
      <c r="E63" s="5"/>
      <c r="F63" s="5"/>
      <c r="G63" s="5"/>
      <c r="H63" s="5"/>
      <c r="I63" s="5"/>
      <c r="J63" s="5"/>
      <c r="K63">
        <v>105</v>
      </c>
      <c r="L63" s="3">
        <f t="shared" si="6"/>
        <v>12.325400531501046</v>
      </c>
      <c r="M63" s="3">
        <f t="shared" si="7"/>
        <v>8.2345648852038149</v>
      </c>
      <c r="N63" s="3">
        <f t="shared" si="8"/>
        <v>14.788035224907613</v>
      </c>
      <c r="O63" s="3">
        <f t="shared" si="9"/>
        <v>3.2450968443765342</v>
      </c>
      <c r="P63" s="3">
        <f t="shared" si="10"/>
        <v>3.1642474901027908</v>
      </c>
      <c r="Q63" s="3">
        <f t="shared" si="11"/>
        <v>14.49978804336763</v>
      </c>
      <c r="R63" s="37">
        <v>4</v>
      </c>
      <c r="S63" s="3">
        <f t="shared" si="12"/>
        <v>26.25</v>
      </c>
      <c r="T63" s="5"/>
      <c r="U63" s="5"/>
      <c r="V63" s="5"/>
      <c r="W63" s="5"/>
      <c r="X63" s="5"/>
      <c r="Y63" s="5"/>
      <c r="Z63" s="5"/>
      <c r="AA63" s="5"/>
      <c r="AB63" s="5"/>
      <c r="AC63" s="5"/>
      <c r="AD63" s="5"/>
      <c r="AE63" s="5"/>
      <c r="AF63" s="5"/>
      <c r="AG63" s="5"/>
      <c r="AH63" s="5"/>
      <c r="AI63" s="5"/>
      <c r="AJ63" s="5"/>
      <c r="AK63" s="21"/>
      <c r="AL63" s="44"/>
      <c r="AM63" s="21"/>
      <c r="AN63" s="21"/>
    </row>
    <row r="64" spans="1:41" x14ac:dyDescent="0.25">
      <c r="A64" s="5"/>
      <c r="B64" s="5"/>
      <c r="C64" s="5"/>
      <c r="D64" s="5"/>
      <c r="E64" s="5"/>
      <c r="F64" s="5"/>
      <c r="G64" s="5"/>
      <c r="H64" s="5"/>
      <c r="I64" s="5"/>
      <c r="J64" s="12" t="s">
        <v>92</v>
      </c>
      <c r="K64" s="10">
        <v>28</v>
      </c>
      <c r="L64" s="28">
        <f t="shared" si="6"/>
        <v>44.087080760779678</v>
      </c>
      <c r="M64" s="28">
        <f t="shared" si="7"/>
        <v>30.212775158783838</v>
      </c>
      <c r="N64" s="3">
        <f t="shared" si="8"/>
        <v>51.898983375528495</v>
      </c>
      <c r="O64" s="28">
        <f t="shared" si="9"/>
        <v>0.89577209643089895</v>
      </c>
      <c r="P64" s="3">
        <f t="shared" si="10"/>
        <v>0.90161695471725745</v>
      </c>
      <c r="Q64" s="28">
        <f t="shared" si="11"/>
        <v>54.374203992668654</v>
      </c>
      <c r="R64" s="38">
        <v>3.5</v>
      </c>
      <c r="S64" s="3">
        <f t="shared" si="12"/>
        <v>8</v>
      </c>
      <c r="T64" s="10">
        <v>16</v>
      </c>
      <c r="U64" s="10">
        <v>12</v>
      </c>
      <c r="V64" s="10">
        <v>6</v>
      </c>
      <c r="W64" s="10"/>
      <c r="X64" s="10"/>
      <c r="Y64" s="22">
        <v>1</v>
      </c>
      <c r="Z64" s="22">
        <v>1</v>
      </c>
      <c r="AA64" s="10"/>
      <c r="AB64" s="10"/>
      <c r="AC64" s="10"/>
      <c r="AD64" s="22">
        <v>1</v>
      </c>
      <c r="AE64" s="22">
        <v>1</v>
      </c>
      <c r="AF64" s="10"/>
      <c r="AG64" s="10"/>
      <c r="AH64" s="30">
        <v>1</v>
      </c>
      <c r="AI64" s="10"/>
      <c r="AJ64" s="10"/>
      <c r="AK64" s="23">
        <v>18.899999999999999</v>
      </c>
      <c r="AL64" s="45">
        <v>72</v>
      </c>
      <c r="AM64" s="40">
        <v>35827</v>
      </c>
      <c r="AN64" s="18">
        <v>409.95</v>
      </c>
      <c r="AO64" s="18">
        <v>15</v>
      </c>
    </row>
    <row r="65" spans="1:41" x14ac:dyDescent="0.25">
      <c r="A65" s="5"/>
      <c r="B65" s="5"/>
      <c r="C65" s="5"/>
      <c r="D65" s="5"/>
      <c r="E65" s="5"/>
      <c r="F65" s="5"/>
      <c r="G65" s="5"/>
      <c r="H65" s="5"/>
      <c r="I65" s="5"/>
      <c r="J65" s="5"/>
      <c r="K65" s="12">
        <v>31.5</v>
      </c>
      <c r="L65" s="28">
        <f t="shared" si="6"/>
        <v>39.589679172226433</v>
      </c>
      <c r="M65" s="28">
        <f t="shared" si="7"/>
        <v>26.98571785653877</v>
      </c>
      <c r="N65" s="3">
        <f t="shared" si="8"/>
        <v>46.783770847051045</v>
      </c>
      <c r="O65" s="28">
        <f t="shared" si="9"/>
        <v>1.0002084790042083</v>
      </c>
      <c r="P65" s="3">
        <f t="shared" si="10"/>
        <v>1.0001973440094154</v>
      </c>
      <c r="Q65" s="28">
        <f t="shared" si="11"/>
        <v>48.332626006234385</v>
      </c>
      <c r="R65" s="37" t="e">
        <f>NA()</f>
        <v>#N/A</v>
      </c>
      <c r="S65" s="3" t="e">
        <f t="shared" si="12"/>
        <v>#N/A</v>
      </c>
      <c r="T65" s="5"/>
      <c r="U65" s="5"/>
      <c r="V65" s="5"/>
      <c r="W65" s="5"/>
      <c r="X65" s="5"/>
      <c r="Y65" s="5"/>
      <c r="Z65" s="5"/>
      <c r="AA65" s="5"/>
      <c r="AB65" s="5"/>
      <c r="AC65" s="5"/>
      <c r="AD65" s="5"/>
      <c r="AE65" s="5"/>
      <c r="AF65" s="5"/>
      <c r="AG65" s="5"/>
      <c r="AH65" s="32"/>
      <c r="AI65" s="5"/>
      <c r="AJ65" s="5"/>
      <c r="AK65" s="21"/>
      <c r="AL65" s="44"/>
      <c r="AM65" s="21"/>
      <c r="AN65" s="19"/>
    </row>
    <row r="66" spans="1:41" x14ac:dyDescent="0.25">
      <c r="A66" s="5"/>
      <c r="B66" s="5"/>
      <c r="C66" s="5"/>
      <c r="D66" s="5"/>
      <c r="E66" s="5"/>
      <c r="F66" s="5"/>
      <c r="G66" s="5"/>
      <c r="H66" s="5"/>
      <c r="I66" s="5"/>
      <c r="J66" s="5"/>
      <c r="K66" s="10">
        <v>135</v>
      </c>
      <c r="L66" s="28">
        <f t="shared" si="6"/>
        <v>9.6010336907990101</v>
      </c>
      <c r="M66" s="28">
        <f t="shared" si="7"/>
        <v>6.4090176858738017</v>
      </c>
      <c r="N66" s="3">
        <f t="shared" si="8"/>
        <v>11.527045209650009</v>
      </c>
      <c r="O66" s="28">
        <f t="shared" si="9"/>
        <v>4.1676743666592921</v>
      </c>
      <c r="P66" s="3">
        <f t="shared" si="10"/>
        <v>4.0594100650175493</v>
      </c>
      <c r="Q66" s="28">
        <f t="shared" si="11"/>
        <v>11.277612929958215</v>
      </c>
      <c r="R66" s="38">
        <v>5.6</v>
      </c>
      <c r="S66" s="3">
        <f t="shared" si="12"/>
        <v>24.107142857142858</v>
      </c>
      <c r="T66" s="5"/>
      <c r="U66" s="5"/>
      <c r="V66" s="5"/>
      <c r="W66" s="5"/>
      <c r="X66" s="5"/>
      <c r="Y66" s="5"/>
      <c r="Z66" s="5"/>
      <c r="AA66" s="5"/>
      <c r="AB66" s="5"/>
      <c r="AC66" s="5"/>
      <c r="AD66" s="5"/>
      <c r="AE66" s="5"/>
      <c r="AF66" s="5"/>
      <c r="AG66" s="5"/>
      <c r="AH66" s="5"/>
      <c r="AI66" s="5"/>
      <c r="AJ66" s="5"/>
      <c r="AK66" s="21"/>
      <c r="AL66" s="44"/>
      <c r="AM66" s="21"/>
      <c r="AN66" s="21"/>
    </row>
    <row r="67" spans="1:41" x14ac:dyDescent="0.25">
      <c r="A67" s="5"/>
      <c r="B67" s="5"/>
      <c r="C67" s="5"/>
      <c r="D67" s="5"/>
      <c r="E67" s="5"/>
      <c r="F67" s="5"/>
      <c r="G67" s="5"/>
      <c r="H67" s="5"/>
      <c r="I67" s="5"/>
      <c r="J67" s="10" t="s">
        <v>87</v>
      </c>
      <c r="K67" s="10">
        <v>28</v>
      </c>
      <c r="L67" s="28">
        <f t="shared" si="6"/>
        <v>44.087080760779678</v>
      </c>
      <c r="M67" s="28">
        <f t="shared" si="7"/>
        <v>30.212775158783838</v>
      </c>
      <c r="N67" s="3">
        <f t="shared" si="8"/>
        <v>51.898983375528495</v>
      </c>
      <c r="O67" s="28">
        <f t="shared" si="9"/>
        <v>0.89577209643089895</v>
      </c>
      <c r="P67" s="3">
        <f t="shared" si="10"/>
        <v>0.90161695471725745</v>
      </c>
      <c r="Q67" s="28">
        <f t="shared" si="11"/>
        <v>54.374203992668654</v>
      </c>
      <c r="R67" s="38">
        <v>3.5</v>
      </c>
      <c r="S67" s="3">
        <f t="shared" si="12"/>
        <v>8</v>
      </c>
      <c r="T67" s="10">
        <v>16</v>
      </c>
      <c r="U67" s="10">
        <v>12</v>
      </c>
      <c r="V67" s="10">
        <v>6</v>
      </c>
      <c r="W67" s="10"/>
      <c r="X67" s="10"/>
      <c r="Y67" s="22">
        <v>1</v>
      </c>
      <c r="Z67" s="22">
        <v>2</v>
      </c>
      <c r="AA67" s="10"/>
      <c r="AB67" s="10"/>
      <c r="AC67" s="10"/>
      <c r="AD67" s="22">
        <v>1</v>
      </c>
      <c r="AE67" s="10"/>
      <c r="AF67" s="10"/>
      <c r="AG67" s="10"/>
      <c r="AH67" s="10"/>
      <c r="AI67" s="10"/>
      <c r="AJ67" s="10"/>
      <c r="AK67" s="23">
        <v>17.600000000000001</v>
      </c>
      <c r="AL67" s="45">
        <v>72</v>
      </c>
      <c r="AM67" s="40">
        <v>36770</v>
      </c>
      <c r="AN67" s="18">
        <v>359.95</v>
      </c>
      <c r="AO67" s="18">
        <v>15</v>
      </c>
    </row>
    <row r="68" spans="1:41" x14ac:dyDescent="0.25">
      <c r="A68" s="5"/>
      <c r="B68" s="5"/>
      <c r="C68" s="5"/>
      <c r="D68" s="5"/>
      <c r="E68" s="5"/>
      <c r="F68" s="5"/>
      <c r="G68" s="5"/>
      <c r="H68" s="5"/>
      <c r="I68" s="5"/>
      <c r="J68" s="10" t="s">
        <v>119</v>
      </c>
      <c r="K68" s="5"/>
      <c r="L68" s="7"/>
      <c r="M68" s="7"/>
      <c r="N68" s="7"/>
      <c r="O68" s="7"/>
      <c r="P68" s="7"/>
      <c r="Q68" s="7"/>
      <c r="R68" s="38">
        <v>3.5</v>
      </c>
      <c r="S68" s="3">
        <f>+K67/R68</f>
        <v>8</v>
      </c>
      <c r="T68" s="10">
        <v>22</v>
      </c>
      <c r="U68" s="10">
        <v>16</v>
      </c>
      <c r="V68" s="10">
        <v>8</v>
      </c>
      <c r="W68" s="51"/>
      <c r="X68" s="10"/>
      <c r="Y68" s="22">
        <v>1</v>
      </c>
      <c r="Z68" s="22">
        <v>3</v>
      </c>
      <c r="AA68" s="10" t="s">
        <v>41</v>
      </c>
      <c r="AB68" s="22">
        <v>3</v>
      </c>
      <c r="AC68" s="10" t="s">
        <v>41</v>
      </c>
      <c r="AD68" s="22">
        <v>1</v>
      </c>
      <c r="AE68" s="22">
        <v>1</v>
      </c>
      <c r="AF68" s="22">
        <v>1</v>
      </c>
      <c r="AG68" s="10" t="s">
        <v>41</v>
      </c>
      <c r="AH68" s="22">
        <v>1</v>
      </c>
      <c r="AI68" s="10" t="s">
        <v>41</v>
      </c>
      <c r="AJ68" s="10"/>
      <c r="AK68" s="23">
        <v>58.9</v>
      </c>
      <c r="AL68" s="45">
        <v>77</v>
      </c>
      <c r="AM68" s="40">
        <v>38108</v>
      </c>
      <c r="AN68" s="50">
        <v>2499</v>
      </c>
      <c r="AO68" s="18"/>
    </row>
    <row r="69" spans="1:41" x14ac:dyDescent="0.25">
      <c r="A69" s="5"/>
      <c r="B69" s="5"/>
      <c r="C69" s="5"/>
      <c r="D69" s="5"/>
      <c r="E69" s="5"/>
      <c r="F69" s="5"/>
      <c r="G69" s="5"/>
      <c r="H69" s="5"/>
      <c r="I69" s="5"/>
      <c r="J69" s="5"/>
      <c r="K69" s="10">
        <v>300</v>
      </c>
      <c r="L69" s="28">
        <f t="shared" si="6"/>
        <v>4.328543466373576</v>
      </c>
      <c r="M69" s="28">
        <f t="shared" si="7"/>
        <v>2.886458280917036</v>
      </c>
      <c r="N69" s="3">
        <f t="shared" si="8"/>
        <v>5.2011628560323704</v>
      </c>
      <c r="O69" s="28">
        <f t="shared" si="9"/>
        <v>9.2490042024774528</v>
      </c>
      <c r="P69" s="3">
        <f t="shared" ref="P69:P95" si="13">+N$5/N69</f>
        <v>8.9966426045849524</v>
      </c>
      <c r="Q69" s="28">
        <f t="shared" si="11"/>
        <v>5.0749258225141523</v>
      </c>
      <c r="R69" s="38">
        <v>5.6</v>
      </c>
      <c r="S69" s="3">
        <f t="shared" si="12"/>
        <v>53.571428571428577</v>
      </c>
      <c r="T69" s="5"/>
      <c r="U69" s="5"/>
      <c r="V69" s="5"/>
      <c r="W69" s="5"/>
      <c r="X69" s="5"/>
      <c r="Y69" s="5"/>
      <c r="Z69" s="5"/>
      <c r="AA69" s="5"/>
      <c r="AB69" s="5"/>
      <c r="AC69" s="5"/>
      <c r="AD69" s="5"/>
      <c r="AE69" s="5"/>
      <c r="AF69" s="5"/>
      <c r="AG69" s="5"/>
      <c r="AH69" s="5"/>
      <c r="AI69" s="5"/>
      <c r="AJ69" s="5"/>
      <c r="AK69" s="21"/>
      <c r="AL69" s="44"/>
      <c r="AM69" s="47"/>
      <c r="AN69" s="19"/>
      <c r="AO69" s="18"/>
    </row>
    <row r="70" spans="1:41" x14ac:dyDescent="0.25">
      <c r="A70" s="5"/>
      <c r="B70" s="5"/>
      <c r="C70" s="5"/>
      <c r="D70" s="5"/>
      <c r="E70" s="5"/>
      <c r="F70" s="5"/>
      <c r="G70" s="5"/>
      <c r="H70" s="5"/>
      <c r="I70" s="5"/>
      <c r="J70" s="5"/>
      <c r="K70" s="10">
        <v>200</v>
      </c>
      <c r="L70" s="28">
        <f t="shared" si="6"/>
        <v>6.4889603099523061</v>
      </c>
      <c r="M70" s="28">
        <f t="shared" si="7"/>
        <v>4.328543466373576</v>
      </c>
      <c r="N70" s="3">
        <f t="shared" si="8"/>
        <v>7.7950604256231681</v>
      </c>
      <c r="O70" s="28">
        <f t="shared" si="9"/>
        <v>6.1686490141337185</v>
      </c>
      <c r="P70" s="3">
        <f t="shared" si="13"/>
        <v>6.0029045047748628</v>
      </c>
      <c r="Q70" s="28">
        <f t="shared" si="11"/>
        <v>7.6123887318511478</v>
      </c>
      <c r="R70" s="38">
        <v>5.6</v>
      </c>
      <c r="S70" s="3">
        <f t="shared" si="12"/>
        <v>35.714285714285715</v>
      </c>
      <c r="T70" s="5"/>
      <c r="U70" s="5"/>
      <c r="V70" s="5"/>
      <c r="W70" s="5"/>
      <c r="X70" s="5"/>
      <c r="Y70" s="5"/>
      <c r="Z70" s="5"/>
      <c r="AA70" s="5"/>
      <c r="AB70" s="5"/>
      <c r="AC70" s="5"/>
      <c r="AD70" s="5"/>
      <c r="AE70" s="5"/>
      <c r="AF70" s="5"/>
      <c r="AG70" s="5"/>
      <c r="AH70" s="5"/>
      <c r="AI70" s="5"/>
      <c r="AJ70" s="5"/>
      <c r="AK70" s="21"/>
      <c r="AL70" s="44"/>
      <c r="AM70" s="21"/>
      <c r="AN70" s="21"/>
    </row>
    <row r="71" spans="1:41" x14ac:dyDescent="0.25">
      <c r="A71" s="5"/>
      <c r="B71" s="5"/>
      <c r="C71" s="5"/>
      <c r="D71" s="5"/>
      <c r="E71" s="5"/>
      <c r="F71" s="5"/>
      <c r="G71" s="5"/>
      <c r="H71" s="5"/>
      <c r="I71" s="5"/>
      <c r="J71" s="10" t="s">
        <v>66</v>
      </c>
      <c r="K71" s="10">
        <v>55</v>
      </c>
      <c r="L71" s="28">
        <f t="shared" si="6"/>
        <v>23.295176682527035</v>
      </c>
      <c r="M71" s="28">
        <f t="shared" si="7"/>
        <v>15.649623443468487</v>
      </c>
      <c r="N71" s="3">
        <f t="shared" si="8"/>
        <v>27.829146437764205</v>
      </c>
      <c r="O71" s="28">
        <f t="shared" si="9"/>
        <v>1.7122357490679108</v>
      </c>
      <c r="P71" s="3">
        <f t="shared" si="13"/>
        <v>1.6814386833103647</v>
      </c>
      <c r="Q71" s="28">
        <f t="shared" si="11"/>
        <v>27.681413416750051</v>
      </c>
      <c r="R71" s="38">
        <v>4.5</v>
      </c>
      <c r="S71" s="3">
        <f t="shared" si="12"/>
        <v>12.222222222222221</v>
      </c>
      <c r="T71" s="10">
        <v>13</v>
      </c>
      <c r="U71" s="10">
        <v>13</v>
      </c>
      <c r="V71" s="10">
        <v>6</v>
      </c>
      <c r="W71" s="53"/>
      <c r="X71" s="10"/>
      <c r="Y71" s="22">
        <v>1</v>
      </c>
      <c r="Z71" s="10"/>
      <c r="AA71" s="10"/>
      <c r="AB71" s="10"/>
      <c r="AC71" s="10"/>
      <c r="AD71" s="10"/>
      <c r="AE71" s="10"/>
      <c r="AF71" s="22">
        <v>1</v>
      </c>
      <c r="AG71" s="10"/>
      <c r="AH71" s="10"/>
      <c r="AI71" s="10"/>
      <c r="AJ71" s="10"/>
      <c r="AK71" s="14">
        <v>10.9</v>
      </c>
      <c r="AL71" s="41">
        <v>52</v>
      </c>
      <c r="AM71" s="40">
        <v>37867</v>
      </c>
      <c r="AN71" s="20">
        <v>209.95</v>
      </c>
    </row>
    <row r="72" spans="1:41" x14ac:dyDescent="0.25">
      <c r="A72" s="5"/>
      <c r="B72" s="5"/>
      <c r="C72" s="5"/>
      <c r="D72" s="5"/>
      <c r="E72" s="5"/>
      <c r="F72" s="5"/>
      <c r="G72" s="5"/>
      <c r="H72" s="5"/>
      <c r="I72" s="5"/>
      <c r="J72" s="5"/>
      <c r="K72">
        <v>200</v>
      </c>
      <c r="L72" s="28">
        <f t="shared" si="6"/>
        <v>6.4889603099523061</v>
      </c>
      <c r="M72" s="28">
        <f t="shared" si="7"/>
        <v>4.328543466373576</v>
      </c>
      <c r="N72" s="3">
        <f t="shared" si="8"/>
        <v>7.7950604256231681</v>
      </c>
      <c r="O72" s="28">
        <f t="shared" si="9"/>
        <v>6.1686490141337185</v>
      </c>
      <c r="P72" s="3">
        <f t="shared" si="13"/>
        <v>6.0029045047748628</v>
      </c>
      <c r="Q72" s="28">
        <f t="shared" si="11"/>
        <v>7.6123887318511478</v>
      </c>
      <c r="R72" s="38">
        <v>5.6</v>
      </c>
      <c r="S72" s="3">
        <f t="shared" si="12"/>
        <v>35.714285714285715</v>
      </c>
      <c r="T72" s="5"/>
      <c r="U72" s="5"/>
      <c r="V72" s="5"/>
      <c r="W72" s="5"/>
      <c r="X72" s="5"/>
      <c r="Y72" s="5"/>
      <c r="Z72" s="5"/>
      <c r="AA72" s="5"/>
      <c r="AB72" s="5"/>
      <c r="AC72" s="5"/>
      <c r="AD72" s="5"/>
      <c r="AE72" s="5"/>
      <c r="AF72" s="5"/>
      <c r="AG72" s="5"/>
      <c r="AH72" s="5"/>
      <c r="AI72" s="5"/>
      <c r="AJ72" s="5"/>
      <c r="AK72" s="16"/>
      <c r="AL72" s="42"/>
      <c r="AM72" s="16"/>
      <c r="AN72" s="19"/>
    </row>
    <row r="73" spans="1:41" x14ac:dyDescent="0.25">
      <c r="A73" s="5"/>
      <c r="B73" s="5"/>
      <c r="C73" s="5"/>
      <c r="D73" s="5"/>
      <c r="E73" s="5"/>
      <c r="F73" s="5"/>
      <c r="G73" s="5"/>
      <c r="H73" s="5"/>
      <c r="I73" s="5"/>
      <c r="J73" s="10" t="s">
        <v>58</v>
      </c>
      <c r="K73">
        <v>70</v>
      </c>
      <c r="L73" s="3">
        <f t="shared" si="6"/>
        <v>18.399947424003894</v>
      </c>
      <c r="M73" s="3">
        <f t="shared" si="7"/>
        <v>12.325400531501046</v>
      </c>
      <c r="N73" s="3">
        <f t="shared" si="8"/>
        <v>22.030520378535542</v>
      </c>
      <c r="O73" s="3">
        <f t="shared" si="9"/>
        <v>2.1708994022674246</v>
      </c>
      <c r="P73" s="3">
        <f t="shared" si="13"/>
        <v>2.1240080824217049</v>
      </c>
      <c r="Q73" s="3">
        <f t="shared" si="11"/>
        <v>21.749682020268285</v>
      </c>
      <c r="R73" s="37">
        <v>2.8</v>
      </c>
      <c r="S73" s="3">
        <f t="shared" si="12"/>
        <v>25</v>
      </c>
      <c r="T73" s="10">
        <v>23</v>
      </c>
      <c r="U73" s="10">
        <v>18</v>
      </c>
      <c r="V73" s="10">
        <v>8</v>
      </c>
      <c r="W73" s="51"/>
      <c r="X73" s="10"/>
      <c r="Y73" s="22">
        <v>1</v>
      </c>
      <c r="Z73" s="10"/>
      <c r="AA73" s="10"/>
      <c r="AB73" s="22">
        <v>4</v>
      </c>
      <c r="AC73" s="10"/>
      <c r="AD73" s="22">
        <v>1</v>
      </c>
      <c r="AE73" s="22">
        <v>1</v>
      </c>
      <c r="AF73" s="10"/>
      <c r="AG73" s="10"/>
      <c r="AH73" s="22">
        <v>1</v>
      </c>
      <c r="AI73" s="10"/>
      <c r="AJ73" s="10"/>
      <c r="AK73" s="23">
        <f>3.2*16</f>
        <v>51.2</v>
      </c>
      <c r="AL73" s="45">
        <v>77</v>
      </c>
      <c r="AM73" s="40">
        <v>37135</v>
      </c>
      <c r="AN73" s="18">
        <v>1699.95</v>
      </c>
      <c r="AO73" s="18">
        <v>50</v>
      </c>
    </row>
    <row r="74" spans="1:41" x14ac:dyDescent="0.25">
      <c r="A74" s="5"/>
      <c r="B74" s="5"/>
      <c r="C74" s="5"/>
      <c r="D74" s="5"/>
      <c r="E74" s="5"/>
      <c r="F74" s="5"/>
      <c r="G74" s="5"/>
      <c r="H74" s="5"/>
      <c r="I74" s="5"/>
      <c r="J74" s="10" t="s">
        <v>106</v>
      </c>
      <c r="K74">
        <v>200</v>
      </c>
      <c r="L74" s="3">
        <f t="shared" si="6"/>
        <v>6.4889603099523061</v>
      </c>
      <c r="M74" s="3">
        <f t="shared" si="7"/>
        <v>4.328543466373576</v>
      </c>
      <c r="N74" s="3">
        <f t="shared" si="8"/>
        <v>7.7950604256231681</v>
      </c>
      <c r="O74" s="3">
        <f t="shared" si="9"/>
        <v>6.1686490141337185</v>
      </c>
      <c r="P74" s="3">
        <f t="shared" si="13"/>
        <v>6.0029045047748628</v>
      </c>
      <c r="Q74" s="3">
        <f t="shared" si="11"/>
        <v>7.6123887318511478</v>
      </c>
      <c r="R74" s="37">
        <f>+R73</f>
        <v>2.8</v>
      </c>
      <c r="S74" s="3">
        <f t="shared" si="12"/>
        <v>71.428571428571431</v>
      </c>
      <c r="T74" s="10">
        <v>18</v>
      </c>
      <c r="U74" s="10">
        <v>15</v>
      </c>
      <c r="V74" s="10">
        <v>8</v>
      </c>
      <c r="W74" s="51"/>
      <c r="X74" s="10"/>
      <c r="Y74" s="22">
        <v>1</v>
      </c>
      <c r="Z74" s="10"/>
      <c r="AA74" s="10"/>
      <c r="AB74" s="22">
        <v>4</v>
      </c>
      <c r="AC74" s="10"/>
      <c r="AD74" s="22">
        <v>1</v>
      </c>
      <c r="AE74" s="22">
        <v>1</v>
      </c>
      <c r="AF74" s="10"/>
      <c r="AG74" s="10"/>
      <c r="AH74" s="10"/>
      <c r="AI74" s="10"/>
      <c r="AJ74" s="10"/>
      <c r="AK74" s="23">
        <f>2.9*16</f>
        <v>46.4</v>
      </c>
      <c r="AL74" s="45">
        <v>77</v>
      </c>
      <c r="AM74" s="40">
        <v>34759</v>
      </c>
      <c r="AN74" s="18">
        <v>1139.95</v>
      </c>
      <c r="AO74" s="18">
        <v>40</v>
      </c>
    </row>
    <row r="75" spans="1:41" x14ac:dyDescent="0.25">
      <c r="A75" s="5"/>
      <c r="B75" s="5"/>
      <c r="C75" s="5"/>
      <c r="D75" s="5"/>
      <c r="E75" s="5"/>
      <c r="F75" s="5"/>
      <c r="G75" s="5"/>
      <c r="H75" s="5"/>
      <c r="I75" s="5"/>
      <c r="J75" s="10" t="s">
        <v>107</v>
      </c>
      <c r="K75">
        <v>70</v>
      </c>
      <c r="L75" s="3">
        <f t="shared" ref="L75:M80" si="14">DEGREES(2*ATAN(D$11/2/$K75))</f>
        <v>18.399947424003894</v>
      </c>
      <c r="M75" s="3">
        <f t="shared" si="14"/>
        <v>12.325400531501046</v>
      </c>
      <c r="N75" s="3">
        <f t="shared" si="8"/>
        <v>22.030520378535542</v>
      </c>
      <c r="O75" s="3">
        <f t="shared" ref="O75:O80" si="15">+SQRT(L$5*M$5/(L75*M75))</f>
        <v>2.1708994022674246</v>
      </c>
      <c r="P75" s="3">
        <f t="shared" si="13"/>
        <v>2.1240080824217049</v>
      </c>
      <c r="Q75" s="3">
        <f t="shared" ref="Q75:Q80" si="16">DEGREES(ATAN(1/(K75*I$11)))*60*60</f>
        <v>21.749682020268285</v>
      </c>
      <c r="R75" s="37">
        <v>4</v>
      </c>
      <c r="S75" s="3">
        <f t="shared" ref="S75:S80" si="17">+K75/R75</f>
        <v>17.5</v>
      </c>
      <c r="T75" s="10">
        <v>16</v>
      </c>
      <c r="U75" s="10">
        <v>13</v>
      </c>
      <c r="V75" s="10">
        <v>8</v>
      </c>
      <c r="W75" s="51"/>
      <c r="X75" s="10"/>
      <c r="Y75" s="22">
        <v>1</v>
      </c>
      <c r="Z75" s="10"/>
      <c r="AA75" s="22">
        <v>1</v>
      </c>
      <c r="AB75" s="22">
        <v>2</v>
      </c>
      <c r="AC75" s="10"/>
      <c r="AD75" s="22">
        <v>1</v>
      </c>
      <c r="AE75" s="22">
        <v>1</v>
      </c>
      <c r="AF75" s="10"/>
      <c r="AG75" s="10"/>
      <c r="AH75" s="10"/>
      <c r="AI75" s="10"/>
      <c r="AJ75" s="10"/>
      <c r="AK75" s="23">
        <v>25</v>
      </c>
      <c r="AL75" s="45">
        <v>67</v>
      </c>
      <c r="AM75" s="40">
        <v>36404</v>
      </c>
      <c r="AN75" s="18">
        <v>579.95000000000005</v>
      </c>
      <c r="AO75" s="18">
        <v>25</v>
      </c>
    </row>
    <row r="76" spans="1:41" x14ac:dyDescent="0.25">
      <c r="A76" s="5"/>
      <c r="B76" s="5"/>
      <c r="C76" s="5"/>
      <c r="D76" s="5"/>
      <c r="E76" s="5"/>
      <c r="F76" s="5"/>
      <c r="G76" s="5"/>
      <c r="H76" s="5"/>
      <c r="I76" s="5"/>
      <c r="J76" s="5"/>
      <c r="K76">
        <v>200</v>
      </c>
      <c r="L76" s="3">
        <f t="shared" si="14"/>
        <v>6.4889603099523061</v>
      </c>
      <c r="M76" s="3">
        <f t="shared" si="14"/>
        <v>4.328543466373576</v>
      </c>
      <c r="N76" s="3">
        <f t="shared" si="8"/>
        <v>7.7950604256231681</v>
      </c>
      <c r="O76" s="3">
        <f t="shared" si="15"/>
        <v>6.1686490141337185</v>
      </c>
      <c r="P76" s="3">
        <f t="shared" si="13"/>
        <v>6.0029045047748628</v>
      </c>
      <c r="Q76" s="3">
        <f t="shared" si="16"/>
        <v>7.6123887318511478</v>
      </c>
      <c r="R76" s="37">
        <f>+R75</f>
        <v>4</v>
      </c>
      <c r="S76" s="3">
        <f t="shared" si="17"/>
        <v>50</v>
      </c>
      <c r="T76" s="5"/>
      <c r="U76" s="5"/>
      <c r="V76" s="5"/>
      <c r="W76" s="5"/>
      <c r="X76" s="5"/>
      <c r="Y76" s="5"/>
      <c r="Z76" s="5"/>
      <c r="AA76" s="5"/>
      <c r="AB76" s="5"/>
      <c r="AC76" s="5"/>
      <c r="AD76" s="5"/>
      <c r="AE76" s="5"/>
      <c r="AF76" s="5"/>
      <c r="AG76" s="5"/>
      <c r="AH76" s="5"/>
      <c r="AI76" s="5"/>
      <c r="AJ76" s="5"/>
      <c r="AK76" s="21"/>
      <c r="AL76" s="44"/>
      <c r="AM76" s="21"/>
      <c r="AN76" s="21"/>
    </row>
    <row r="77" spans="1:41" x14ac:dyDescent="0.25">
      <c r="A77" s="5"/>
      <c r="B77" s="5"/>
      <c r="C77" s="5"/>
      <c r="D77" s="5"/>
      <c r="E77" s="5"/>
      <c r="F77" s="5"/>
      <c r="G77" s="5"/>
      <c r="H77" s="5"/>
      <c r="I77" s="5"/>
      <c r="J77" s="10" t="s">
        <v>108</v>
      </c>
      <c r="K77" s="10">
        <v>70</v>
      </c>
      <c r="L77" s="28">
        <f t="shared" si="14"/>
        <v>18.399947424003894</v>
      </c>
      <c r="M77" s="28">
        <f t="shared" si="14"/>
        <v>12.325400531501046</v>
      </c>
      <c r="N77" s="3">
        <f t="shared" si="8"/>
        <v>22.030520378535542</v>
      </c>
      <c r="O77" s="28">
        <f t="shared" si="15"/>
        <v>2.1708994022674246</v>
      </c>
      <c r="P77" s="3">
        <f t="shared" si="13"/>
        <v>2.1240080824217049</v>
      </c>
      <c r="Q77" s="28">
        <f t="shared" si="16"/>
        <v>21.749682020268285</v>
      </c>
      <c r="R77" s="38">
        <v>4.5</v>
      </c>
      <c r="S77" s="3">
        <f t="shared" si="17"/>
        <v>15.555555555555555</v>
      </c>
      <c r="T77" s="10">
        <v>18</v>
      </c>
      <c r="U77" s="10">
        <v>12</v>
      </c>
      <c r="V77" s="10">
        <v>6</v>
      </c>
      <c r="W77" s="52"/>
      <c r="X77" s="22">
        <v>1</v>
      </c>
      <c r="Y77" s="22">
        <v>1</v>
      </c>
      <c r="Z77" s="10"/>
      <c r="AA77" s="10" t="s">
        <v>41</v>
      </c>
      <c r="AB77" s="10" t="s">
        <v>41</v>
      </c>
      <c r="AC77" s="10" t="s">
        <v>41</v>
      </c>
      <c r="AD77" s="22">
        <v>1</v>
      </c>
      <c r="AE77" s="22">
        <v>1</v>
      </c>
      <c r="AF77" s="10"/>
      <c r="AG77" s="10" t="s">
        <v>41</v>
      </c>
      <c r="AH77" s="22">
        <v>1</v>
      </c>
      <c r="AI77" s="10" t="s">
        <v>41</v>
      </c>
      <c r="AJ77" s="10"/>
      <c r="AK77" s="23">
        <v>25.4</v>
      </c>
      <c r="AL77" s="45">
        <v>58</v>
      </c>
      <c r="AM77" s="40">
        <v>38108</v>
      </c>
      <c r="AN77" s="50">
        <v>1299</v>
      </c>
    </row>
    <row r="78" spans="1:41" x14ac:dyDescent="0.25">
      <c r="A78" s="5"/>
      <c r="B78" s="5"/>
      <c r="C78" s="5"/>
      <c r="D78" s="5"/>
      <c r="E78" s="5"/>
      <c r="F78" s="5"/>
      <c r="G78" s="5"/>
      <c r="H78" s="5"/>
      <c r="I78" s="5"/>
      <c r="J78" s="5"/>
      <c r="K78" s="10">
        <v>300</v>
      </c>
      <c r="L78" s="3">
        <f t="shared" si="14"/>
        <v>4.328543466373576</v>
      </c>
      <c r="M78" s="3">
        <f t="shared" si="14"/>
        <v>2.886458280917036</v>
      </c>
      <c r="N78" s="3">
        <f t="shared" si="8"/>
        <v>5.2011628560323704</v>
      </c>
      <c r="O78" s="3">
        <f t="shared" si="15"/>
        <v>9.2490042024774528</v>
      </c>
      <c r="P78" s="3">
        <f t="shared" si="13"/>
        <v>8.9966426045849524</v>
      </c>
      <c r="Q78" s="3">
        <f t="shared" si="16"/>
        <v>5.0749258225141523</v>
      </c>
      <c r="R78" s="37">
        <v>5.6</v>
      </c>
      <c r="S78" s="3">
        <f t="shared" si="17"/>
        <v>53.571428571428577</v>
      </c>
      <c r="T78" s="5"/>
      <c r="U78" s="5"/>
      <c r="V78" s="5"/>
      <c r="W78" s="5"/>
      <c r="X78" s="5"/>
      <c r="Y78" s="5"/>
      <c r="Z78" s="5"/>
      <c r="AA78" s="5"/>
      <c r="AB78" s="5"/>
      <c r="AC78" s="5"/>
      <c r="AD78" s="5"/>
      <c r="AE78" s="5"/>
      <c r="AF78" s="5"/>
      <c r="AG78" s="5"/>
      <c r="AH78" s="5"/>
      <c r="AI78" s="5"/>
      <c r="AJ78" s="5"/>
      <c r="AK78" s="21"/>
      <c r="AL78" s="44"/>
      <c r="AM78" s="21"/>
      <c r="AN78" s="21"/>
    </row>
    <row r="79" spans="1:41" x14ac:dyDescent="0.25">
      <c r="A79" s="5"/>
      <c r="B79" s="5"/>
      <c r="C79" s="5"/>
      <c r="D79" s="5"/>
      <c r="E79" s="5"/>
      <c r="F79" s="5"/>
      <c r="G79" s="5"/>
      <c r="H79" s="5"/>
      <c r="I79" s="5"/>
      <c r="J79" s="10" t="s">
        <v>136</v>
      </c>
      <c r="K79" s="10">
        <v>70</v>
      </c>
      <c r="L79" s="3">
        <f t="shared" si="14"/>
        <v>18.399947424003894</v>
      </c>
      <c r="M79" s="3">
        <f t="shared" si="14"/>
        <v>12.325400531501046</v>
      </c>
      <c r="N79" s="3">
        <f t="shared" si="8"/>
        <v>22.030520378535542</v>
      </c>
      <c r="O79" s="3">
        <f t="shared" si="15"/>
        <v>2.1708994022674246</v>
      </c>
      <c r="P79" s="3">
        <f t="shared" si="13"/>
        <v>2.1240080824217049</v>
      </c>
      <c r="Q79" s="3">
        <f t="shared" si="16"/>
        <v>21.749682020268285</v>
      </c>
      <c r="R79" s="37">
        <v>4</v>
      </c>
      <c r="S79" s="3">
        <f t="shared" si="17"/>
        <v>17.5</v>
      </c>
      <c r="T79" s="10">
        <v>15</v>
      </c>
      <c r="U79" s="10">
        <v>10</v>
      </c>
      <c r="V79" s="10">
        <v>8</v>
      </c>
      <c r="W79" s="10"/>
      <c r="X79" s="10"/>
      <c r="Y79" s="22">
        <v>1</v>
      </c>
      <c r="Z79" s="10"/>
      <c r="AA79" s="10"/>
      <c r="AB79" s="22">
        <v>1</v>
      </c>
      <c r="AC79" s="10"/>
      <c r="AD79" s="10"/>
      <c r="AE79" s="10"/>
      <c r="AF79" s="22">
        <v>1</v>
      </c>
      <c r="AG79" s="10"/>
      <c r="AH79" s="22">
        <v>1</v>
      </c>
      <c r="AI79" s="10"/>
      <c r="AJ79" s="10"/>
      <c r="AK79" s="23">
        <v>22.2</v>
      </c>
      <c r="AL79" s="45">
        <v>58</v>
      </c>
      <c r="AM79" s="40">
        <v>38586</v>
      </c>
      <c r="AN79" s="56" t="s">
        <v>137</v>
      </c>
    </row>
    <row r="80" spans="1:41" x14ac:dyDescent="0.25">
      <c r="A80" s="5"/>
      <c r="B80" s="5"/>
      <c r="C80" s="5"/>
      <c r="D80" s="5"/>
      <c r="E80" s="5"/>
      <c r="F80" s="5"/>
      <c r="G80" s="5"/>
      <c r="H80" s="5"/>
      <c r="I80" s="5"/>
      <c r="J80" s="5"/>
      <c r="K80" s="10">
        <v>300</v>
      </c>
      <c r="L80" s="3">
        <f t="shared" si="14"/>
        <v>4.328543466373576</v>
      </c>
      <c r="M80" s="3">
        <f t="shared" si="14"/>
        <v>2.886458280917036</v>
      </c>
      <c r="N80" s="3">
        <f t="shared" si="8"/>
        <v>5.2011628560323704</v>
      </c>
      <c r="O80" s="3">
        <f t="shared" si="15"/>
        <v>9.2490042024774528</v>
      </c>
      <c r="P80" s="3">
        <f t="shared" si="13"/>
        <v>8.9966426045849524</v>
      </c>
      <c r="Q80" s="3">
        <f t="shared" si="16"/>
        <v>5.0749258225141523</v>
      </c>
      <c r="R80" s="37">
        <v>5.6</v>
      </c>
      <c r="S80" s="3">
        <f t="shared" si="17"/>
        <v>53.571428571428577</v>
      </c>
      <c r="T80" s="5"/>
      <c r="U80" s="5"/>
      <c r="V80" s="5"/>
      <c r="W80" s="5"/>
      <c r="X80" s="5"/>
      <c r="Y80" s="5"/>
      <c r="Z80" s="5"/>
      <c r="AA80" s="5"/>
      <c r="AB80" s="5"/>
      <c r="AC80" s="5"/>
      <c r="AD80" s="5"/>
      <c r="AE80" s="5"/>
      <c r="AF80" s="5"/>
      <c r="AG80" s="5"/>
      <c r="AH80" s="5"/>
      <c r="AI80" s="5"/>
      <c r="AJ80" s="5"/>
      <c r="AK80" s="21"/>
      <c r="AL80" s="44"/>
      <c r="AM80" s="21"/>
      <c r="AN80" s="21"/>
    </row>
    <row r="81" spans="1:41" x14ac:dyDescent="0.25">
      <c r="A81" s="5"/>
      <c r="B81" s="5"/>
      <c r="C81" s="5"/>
      <c r="D81" s="5"/>
      <c r="E81" s="5"/>
      <c r="F81" s="5"/>
      <c r="G81" s="5"/>
      <c r="H81" s="5"/>
      <c r="I81" s="5"/>
      <c r="J81" s="10" t="s">
        <v>59</v>
      </c>
      <c r="K81">
        <v>75</v>
      </c>
      <c r="L81" s="3">
        <f t="shared" si="6"/>
        <v>17.19224681143001</v>
      </c>
      <c r="M81" s="3">
        <f t="shared" si="7"/>
        <v>11.509416839078872</v>
      </c>
      <c r="N81" s="3">
        <f t="shared" si="8"/>
        <v>20.594321776903239</v>
      </c>
      <c r="O81" s="3">
        <f t="shared" si="9"/>
        <v>2.3241038623406332</v>
      </c>
      <c r="P81" s="3">
        <f t="shared" si="13"/>
        <v>2.2721313112842805</v>
      </c>
      <c r="Q81" s="3">
        <f t="shared" si="11"/>
        <v>20.299703228614113</v>
      </c>
      <c r="R81" s="37">
        <v>4</v>
      </c>
      <c r="S81" s="3">
        <f t="shared" si="12"/>
        <v>18.75</v>
      </c>
      <c r="T81" s="10">
        <v>15</v>
      </c>
      <c r="U81" s="10">
        <v>10</v>
      </c>
      <c r="V81" s="10">
        <v>8</v>
      </c>
      <c r="W81" s="10"/>
      <c r="X81" s="10"/>
      <c r="Y81" s="22">
        <v>1</v>
      </c>
      <c r="Z81" s="10"/>
      <c r="AA81" s="10"/>
      <c r="AB81" s="10"/>
      <c r="AC81" s="10"/>
      <c r="AD81" s="10"/>
      <c r="AE81" s="10"/>
      <c r="AF81" s="10"/>
      <c r="AG81" s="10"/>
      <c r="AH81" s="22">
        <v>1</v>
      </c>
      <c r="AI81" s="10"/>
      <c r="AJ81" s="10"/>
      <c r="AK81" s="23">
        <f>1.4*16</f>
        <v>22.4</v>
      </c>
      <c r="AL81" s="45">
        <v>58</v>
      </c>
      <c r="AM81" s="40">
        <v>34943</v>
      </c>
      <c r="AN81" s="18">
        <v>414.95</v>
      </c>
      <c r="AO81" s="18">
        <v>15</v>
      </c>
    </row>
    <row r="82" spans="1:41" x14ac:dyDescent="0.25">
      <c r="A82" s="5"/>
      <c r="B82" s="5"/>
      <c r="C82" s="5"/>
      <c r="D82" s="5"/>
      <c r="E82" s="5"/>
      <c r="F82" s="5"/>
      <c r="G82" s="5"/>
      <c r="H82" s="5"/>
      <c r="I82" s="5"/>
      <c r="J82" s="5"/>
      <c r="K82">
        <v>300</v>
      </c>
      <c r="L82" s="3">
        <f t="shared" si="6"/>
        <v>4.328543466373576</v>
      </c>
      <c r="M82" s="3">
        <f t="shared" si="7"/>
        <v>2.886458280917036</v>
      </c>
      <c r="N82" s="3">
        <f t="shared" si="8"/>
        <v>5.2011628560323704</v>
      </c>
      <c r="O82" s="3">
        <f t="shared" si="9"/>
        <v>9.2490042024774528</v>
      </c>
      <c r="P82" s="3">
        <f t="shared" si="13"/>
        <v>8.9966426045849524</v>
      </c>
      <c r="Q82" s="3">
        <f t="shared" si="11"/>
        <v>5.0749258225141523</v>
      </c>
      <c r="R82" s="37">
        <v>5.6</v>
      </c>
      <c r="S82" s="3">
        <f t="shared" si="12"/>
        <v>53.571428571428577</v>
      </c>
      <c r="T82" s="5"/>
      <c r="U82" s="5"/>
      <c r="V82" s="5"/>
      <c r="W82" s="5"/>
      <c r="X82" s="5"/>
      <c r="Y82" s="5"/>
      <c r="Z82" s="5"/>
      <c r="AA82" s="5"/>
      <c r="AB82" s="5"/>
      <c r="AC82" s="5"/>
      <c r="AD82" s="5"/>
      <c r="AE82" s="5"/>
      <c r="AF82" s="5"/>
      <c r="AG82" s="5"/>
      <c r="AH82" s="5"/>
      <c r="AI82" s="5"/>
      <c r="AJ82" s="5"/>
      <c r="AK82" s="21"/>
      <c r="AL82" s="44"/>
      <c r="AM82" s="21"/>
      <c r="AN82" s="21"/>
    </row>
    <row r="83" spans="1:41" x14ac:dyDescent="0.25">
      <c r="A83" s="5"/>
      <c r="B83" s="5"/>
      <c r="C83" s="5"/>
      <c r="D83" s="5"/>
      <c r="E83" s="5"/>
      <c r="F83" s="5"/>
      <c r="G83" s="5"/>
      <c r="H83" s="5"/>
      <c r="I83" s="5"/>
      <c r="J83" s="10" t="s">
        <v>105</v>
      </c>
      <c r="K83">
        <v>80</v>
      </c>
      <c r="L83" s="3">
        <f>DEGREES(2*ATAN(D$11/2/$K83))</f>
        <v>16.132333499315532</v>
      </c>
      <c r="M83" s="3">
        <f>DEGREES(2*ATAN(E$11/2/$K83))</f>
        <v>10.794466298322039</v>
      </c>
      <c r="N83" s="3">
        <f t="shared" si="8"/>
        <v>19.332244385457326</v>
      </c>
      <c r="O83" s="3">
        <f>+SQRT(L$5*M$5/(L83*M83))</f>
        <v>2.4774182218300265</v>
      </c>
      <c r="P83" s="3">
        <f t="shared" si="13"/>
        <v>2.4204640915446731</v>
      </c>
      <c r="Q83" s="3">
        <f>DEGREES(ATAN(1/(K83*I$11)))*60*60</f>
        <v>19.030971784266033</v>
      </c>
      <c r="R83" s="37">
        <v>4</v>
      </c>
      <c r="S83" s="3">
        <f>+K83/R83</f>
        <v>20</v>
      </c>
      <c r="T83" s="10">
        <v>10</v>
      </c>
      <c r="U83" s="10">
        <v>7</v>
      </c>
      <c r="V83" s="10">
        <v>5</v>
      </c>
      <c r="W83" s="10"/>
      <c r="X83" s="10"/>
      <c r="Y83" s="10"/>
      <c r="Z83" s="10"/>
      <c r="AA83" s="10"/>
      <c r="AB83" s="10"/>
      <c r="AC83" s="10"/>
      <c r="AD83" s="10"/>
      <c r="AE83" s="10"/>
      <c r="AF83" s="10"/>
      <c r="AG83" s="10"/>
      <c r="AH83" s="10"/>
      <c r="AI83" s="10"/>
      <c r="AJ83" s="10"/>
      <c r="AK83" s="23">
        <v>8.8000000000000007</v>
      </c>
      <c r="AL83" s="45">
        <v>52</v>
      </c>
      <c r="AM83" s="40">
        <v>34759</v>
      </c>
      <c r="AN83" s="18">
        <v>129.99</v>
      </c>
    </row>
    <row r="84" spans="1:41" x14ac:dyDescent="0.25">
      <c r="A84" s="5"/>
      <c r="B84" s="5"/>
      <c r="C84" s="5"/>
      <c r="D84" s="5"/>
      <c r="E84" s="5"/>
      <c r="F84" s="5"/>
      <c r="G84" s="5"/>
      <c r="H84" s="5"/>
      <c r="I84" s="5"/>
      <c r="J84" s="5"/>
      <c r="K84">
        <v>200</v>
      </c>
      <c r="L84" s="3">
        <f>DEGREES(2*ATAN(D$11/2/$K84))</f>
        <v>6.4889603099523061</v>
      </c>
      <c r="M84" s="3">
        <f>DEGREES(2*ATAN(E$11/2/$K84))</f>
        <v>4.328543466373576</v>
      </c>
      <c r="N84" s="3">
        <f t="shared" si="8"/>
        <v>7.7950604256231681</v>
      </c>
      <c r="O84" s="3">
        <f>+SQRT(L$5*M$5/(L84*M84))</f>
        <v>6.1686490141337185</v>
      </c>
      <c r="P84" s="3">
        <f t="shared" si="13"/>
        <v>6.0029045047748628</v>
      </c>
      <c r="Q84" s="3">
        <f>DEGREES(ATAN(1/(K84*I$11)))*60*60</f>
        <v>7.6123887318511478</v>
      </c>
      <c r="R84" s="37">
        <v>5.6</v>
      </c>
      <c r="S84" s="3">
        <f>+K84/R84</f>
        <v>35.714285714285715</v>
      </c>
      <c r="T84" s="5"/>
      <c r="U84" s="5"/>
      <c r="V84" s="5"/>
      <c r="W84" s="5"/>
      <c r="X84" s="5"/>
      <c r="Y84" s="5"/>
      <c r="Z84" s="5"/>
      <c r="AA84" s="5"/>
      <c r="AB84" s="5"/>
      <c r="AC84" s="5"/>
      <c r="AD84" s="5"/>
      <c r="AE84" s="5"/>
      <c r="AF84" s="5"/>
      <c r="AG84" s="5"/>
      <c r="AH84" s="5"/>
      <c r="AI84" s="5"/>
      <c r="AJ84" s="5"/>
      <c r="AK84" s="21"/>
      <c r="AL84" s="44"/>
      <c r="AM84" s="21"/>
      <c r="AN84" s="21"/>
    </row>
    <row r="85" spans="1:41" x14ac:dyDescent="0.25">
      <c r="A85" s="5"/>
      <c r="B85" s="5"/>
      <c r="C85" s="5"/>
      <c r="D85" s="5"/>
      <c r="E85" s="5"/>
      <c r="F85" s="5"/>
      <c r="G85" s="5"/>
      <c r="H85" s="5"/>
      <c r="I85" s="5"/>
      <c r="J85" t="s">
        <v>12</v>
      </c>
      <c r="K85">
        <v>100</v>
      </c>
      <c r="L85" s="3">
        <f t="shared" si="6"/>
        <v>12.936570478093401</v>
      </c>
      <c r="M85" s="3">
        <f t="shared" si="7"/>
        <v>8.6447696998775445</v>
      </c>
      <c r="N85" s="3">
        <f t="shared" si="8"/>
        <v>15.518640099996206</v>
      </c>
      <c r="O85" s="3">
        <f t="shared" si="9"/>
        <v>3.0914499323101743</v>
      </c>
      <c r="P85" s="3">
        <f t="shared" si="13"/>
        <v>3.0152773079631516</v>
      </c>
      <c r="Q85" s="3">
        <f t="shared" si="11"/>
        <v>15.224777442965458</v>
      </c>
      <c r="R85" s="37">
        <v>4.5</v>
      </c>
      <c r="S85" s="3">
        <f t="shared" si="12"/>
        <v>22.222222222222221</v>
      </c>
      <c r="T85">
        <v>17</v>
      </c>
      <c r="U85">
        <v>14</v>
      </c>
      <c r="V85">
        <v>8</v>
      </c>
      <c r="W85" s="51"/>
      <c r="Y85" s="22">
        <v>1</v>
      </c>
      <c r="AA85" s="22">
        <v>1</v>
      </c>
      <c r="AC85" s="22">
        <v>1</v>
      </c>
      <c r="AD85" s="22">
        <v>1</v>
      </c>
      <c r="AE85" s="22">
        <v>1</v>
      </c>
      <c r="AH85" s="22">
        <v>1</v>
      </c>
      <c r="AJ85" s="22">
        <v>1</v>
      </c>
      <c r="AK85" s="13">
        <f>3*16</f>
        <v>48</v>
      </c>
      <c r="AL85" s="39">
        <v>77</v>
      </c>
      <c r="AM85" s="40">
        <v>36100</v>
      </c>
      <c r="AN85" s="18">
        <v>1409.95</v>
      </c>
      <c r="AO85" s="18">
        <v>50</v>
      </c>
    </row>
    <row r="86" spans="1:41" x14ac:dyDescent="0.25">
      <c r="A86" s="5"/>
      <c r="B86" s="5"/>
      <c r="C86" s="5"/>
      <c r="D86" s="5"/>
      <c r="E86" s="5"/>
      <c r="F86" s="5"/>
      <c r="G86" s="5"/>
      <c r="H86" s="5"/>
      <c r="I86" s="5"/>
      <c r="J86" s="5"/>
      <c r="K86">
        <v>400</v>
      </c>
      <c r="L86" s="3">
        <f t="shared" si="6"/>
        <v>3.2470831799067068</v>
      </c>
      <c r="M86" s="3">
        <f t="shared" si="7"/>
        <v>2.1650440314122408</v>
      </c>
      <c r="N86" s="3">
        <f t="shared" si="8"/>
        <v>3.9020442565238649</v>
      </c>
      <c r="O86" s="3">
        <f t="shared" si="9"/>
        <v>12.330152189891226</v>
      </c>
      <c r="P86" s="3">
        <f t="shared" si="13"/>
        <v>11.991920200733732</v>
      </c>
      <c r="Q86" s="3">
        <f t="shared" si="11"/>
        <v>3.8061943672216279</v>
      </c>
      <c r="R86" s="37">
        <v>5.6</v>
      </c>
      <c r="S86" s="3">
        <f t="shared" si="12"/>
        <v>71.428571428571431</v>
      </c>
      <c r="T86" s="5"/>
      <c r="U86" s="5"/>
      <c r="V86" s="5"/>
      <c r="W86" s="5"/>
      <c r="X86" s="5"/>
      <c r="Y86" s="5"/>
      <c r="Z86" s="5"/>
      <c r="AA86" s="5"/>
      <c r="AB86" s="5"/>
      <c r="AC86" s="5"/>
      <c r="AD86" s="5"/>
      <c r="AE86" s="5"/>
      <c r="AF86" s="5"/>
      <c r="AG86" s="5"/>
      <c r="AH86" s="5"/>
      <c r="AI86" s="5"/>
      <c r="AJ86" s="5"/>
      <c r="AK86" s="16"/>
      <c r="AL86" s="42"/>
      <c r="AM86" s="16"/>
      <c r="AN86" s="19"/>
    </row>
    <row r="87" spans="1:41" ht="12.75" customHeight="1" x14ac:dyDescent="0.25">
      <c r="A87" s="62" t="s">
        <v>132</v>
      </c>
      <c r="B87" s="10">
        <f t="shared" ref="B87:I87" si="18">+B11</f>
        <v>3072</v>
      </c>
      <c r="C87" s="10">
        <f t="shared" si="18"/>
        <v>2048</v>
      </c>
      <c r="D87" s="10">
        <f t="shared" si="18"/>
        <v>22.674986218297907</v>
      </c>
      <c r="E87" s="10">
        <f t="shared" si="18"/>
        <v>15.116657478865271</v>
      </c>
      <c r="F87">
        <f t="shared" si="18"/>
        <v>1.5</v>
      </c>
      <c r="G87" s="10">
        <f t="shared" si="18"/>
        <v>27.251941826837466</v>
      </c>
      <c r="H87" s="6">
        <f t="shared" si="18"/>
        <v>342.77</v>
      </c>
      <c r="I87" s="10">
        <f t="shared" si="18"/>
        <v>135.47968543067978</v>
      </c>
      <c r="J87" s="10" t="s">
        <v>126</v>
      </c>
      <c r="K87">
        <v>10</v>
      </c>
      <c r="L87" s="3">
        <f t="shared" ref="L87:M94" si="19">DEGREES(2*ATAN(D$87/2/$K87))</f>
        <v>97.173530576621559</v>
      </c>
      <c r="M87" s="3">
        <f t="shared" si="19"/>
        <v>74.166373785974898</v>
      </c>
      <c r="N87" s="3">
        <f t="shared" ref="N87:N94" si="20">DEGREES(2*ATAN(SQRT(TAN(RADIANS(L87)/2)^2+TAN(RADIANS(M87)/2)^2)))</f>
        <v>107.45065615405824</v>
      </c>
      <c r="O87" s="3">
        <f t="shared" ref="O87:O94" si="21">+SQRT(L$5*M$5/(L87*M87))</f>
        <v>0.38509776388257783</v>
      </c>
      <c r="P87" s="3">
        <f t="shared" ref="P87:P94" si="22">+N$5/N87</f>
        <v>0.43548364448213078</v>
      </c>
      <c r="Q87" s="3">
        <f t="shared" ref="Q87:Q94" si="23">DEGREES(ATAN(1/(K87*I$87)))*60*60</f>
        <v>152.24774705703317</v>
      </c>
      <c r="R87" s="37">
        <v>3.5</v>
      </c>
      <c r="S87" s="3">
        <f>+K87/R87</f>
        <v>2.8571428571428572</v>
      </c>
      <c r="T87" s="10">
        <v>13</v>
      </c>
      <c r="U87" s="10">
        <v>10</v>
      </c>
      <c r="V87" s="10">
        <v>6</v>
      </c>
      <c r="W87" s="53"/>
      <c r="X87" s="10"/>
      <c r="Y87" s="22">
        <v>1</v>
      </c>
      <c r="Z87" s="22">
        <v>2</v>
      </c>
      <c r="AA87" s="10"/>
      <c r="AB87" s="10"/>
      <c r="AC87" s="22">
        <v>1</v>
      </c>
      <c r="AD87" s="10" t="s">
        <v>41</v>
      </c>
      <c r="AE87" s="22">
        <v>1</v>
      </c>
      <c r="AF87" s="10" t="s">
        <v>41</v>
      </c>
      <c r="AG87" s="10" t="s">
        <v>41</v>
      </c>
      <c r="AH87" s="10"/>
      <c r="AI87" s="10"/>
      <c r="AJ87" s="10" t="s">
        <v>41</v>
      </c>
      <c r="AK87" s="14">
        <v>13.580475</v>
      </c>
      <c r="AL87" s="41">
        <v>77</v>
      </c>
      <c r="AM87" s="40">
        <v>38231</v>
      </c>
      <c r="AN87" s="50">
        <v>749.95</v>
      </c>
    </row>
    <row r="88" spans="1:41" x14ac:dyDescent="0.25">
      <c r="A88" s="62"/>
      <c r="B88" s="5"/>
      <c r="C88" s="5"/>
      <c r="D88" s="5"/>
      <c r="E88" s="5"/>
      <c r="F88" s="5"/>
      <c r="G88" s="5"/>
      <c r="H88" s="5"/>
      <c r="I88" s="5"/>
      <c r="J88" s="5"/>
      <c r="K88">
        <v>22</v>
      </c>
      <c r="L88" s="3">
        <f t="shared" si="19"/>
        <v>54.52777837968106</v>
      </c>
      <c r="M88" s="3">
        <f t="shared" si="19"/>
        <v>37.921383637277863</v>
      </c>
      <c r="N88" s="3">
        <f t="shared" si="20"/>
        <v>63.545027126333629</v>
      </c>
      <c r="O88" s="3">
        <f t="shared" si="21"/>
        <v>0.71894806860280314</v>
      </c>
      <c r="P88" s="3">
        <f t="shared" si="22"/>
        <v>0.73637553495628505</v>
      </c>
      <c r="Q88" s="3">
        <f t="shared" si="23"/>
        <v>69.203531360689865</v>
      </c>
      <c r="R88" s="37">
        <v>4.5</v>
      </c>
      <c r="S88" s="3">
        <f>+K88/R88</f>
        <v>4.8888888888888893</v>
      </c>
      <c r="T88" s="5"/>
      <c r="U88" s="5"/>
      <c r="V88" s="5"/>
      <c r="W88" s="5"/>
      <c r="X88" s="5"/>
      <c r="Y88" s="5"/>
      <c r="Z88" s="5"/>
      <c r="AA88" s="5"/>
      <c r="AB88" s="5"/>
      <c r="AC88" s="5"/>
      <c r="AD88" s="5"/>
      <c r="AE88" s="5"/>
      <c r="AF88" s="5"/>
      <c r="AG88" s="5"/>
      <c r="AH88" s="5"/>
      <c r="AI88" s="5"/>
      <c r="AJ88" s="5"/>
      <c r="AK88" s="16"/>
      <c r="AL88" s="42"/>
      <c r="AM88" s="16"/>
      <c r="AN88" s="19"/>
    </row>
    <row r="89" spans="1:41" x14ac:dyDescent="0.25">
      <c r="A89" s="62"/>
      <c r="B89" s="5"/>
      <c r="C89" s="5"/>
      <c r="D89" s="5"/>
      <c r="E89" s="5"/>
      <c r="F89" s="5"/>
      <c r="G89" s="5"/>
      <c r="H89" s="5"/>
      <c r="I89" s="5"/>
      <c r="J89" s="12" t="s">
        <v>36</v>
      </c>
      <c r="K89">
        <v>18</v>
      </c>
      <c r="L89" s="3">
        <f t="shared" si="19"/>
        <v>64.410429886986194</v>
      </c>
      <c r="M89" s="3">
        <f t="shared" si="19"/>
        <v>45.555766979582174</v>
      </c>
      <c r="N89" s="3">
        <f t="shared" si="20"/>
        <v>74.251325213804293</v>
      </c>
      <c r="O89" s="3">
        <f t="shared" si="21"/>
        <v>0.60352981617478352</v>
      </c>
      <c r="P89" s="3">
        <f t="shared" si="22"/>
        <v>0.6301975514810898</v>
      </c>
      <c r="Q89" s="3">
        <f t="shared" si="23"/>
        <v>84.582092318037269</v>
      </c>
      <c r="R89" s="37">
        <v>3.5</v>
      </c>
      <c r="S89" s="3">
        <f>+K89/R89</f>
        <v>5.1428571428571432</v>
      </c>
      <c r="T89" s="10">
        <v>11</v>
      </c>
      <c r="U89" s="10">
        <v>9</v>
      </c>
      <c r="V89" s="10">
        <v>6</v>
      </c>
      <c r="W89" s="53"/>
      <c r="X89" s="10"/>
      <c r="Y89" s="10"/>
      <c r="Z89" s="22">
        <v>1</v>
      </c>
      <c r="AA89" s="10"/>
      <c r="AB89" s="10"/>
      <c r="AC89" s="10"/>
      <c r="AD89" s="22">
        <v>1</v>
      </c>
      <c r="AE89" s="10"/>
      <c r="AF89" s="22">
        <v>1</v>
      </c>
      <c r="AG89" s="10"/>
      <c r="AH89" s="10"/>
      <c r="AI89" s="10"/>
      <c r="AJ89" s="10"/>
      <c r="AK89" s="13">
        <v>6.7</v>
      </c>
      <c r="AL89" s="39">
        <v>58</v>
      </c>
      <c r="AM89" s="40">
        <v>37867</v>
      </c>
      <c r="AN89" s="18">
        <v>139.94999999999999</v>
      </c>
    </row>
    <row r="90" spans="1:41" x14ac:dyDescent="0.25">
      <c r="A90" s="5"/>
      <c r="B90" s="5"/>
      <c r="C90" s="5"/>
      <c r="D90" s="5"/>
      <c r="E90" s="5"/>
      <c r="F90" s="5"/>
      <c r="G90" s="5"/>
      <c r="H90" s="5"/>
      <c r="I90" s="5"/>
      <c r="J90" s="5"/>
      <c r="K90" s="12">
        <v>31.5</v>
      </c>
      <c r="L90" s="3">
        <f t="shared" si="19"/>
        <v>39.589679172226433</v>
      </c>
      <c r="M90" s="3">
        <f t="shared" si="19"/>
        <v>26.98571785653877</v>
      </c>
      <c r="N90" s="3">
        <f t="shared" si="20"/>
        <v>46.783770847051045</v>
      </c>
      <c r="O90" s="3">
        <f t="shared" si="21"/>
        <v>1.0002084790042083</v>
      </c>
      <c r="P90" s="3">
        <f t="shared" si="22"/>
        <v>1.0001973440094154</v>
      </c>
      <c r="Q90" s="3">
        <f t="shared" si="23"/>
        <v>48.332626006234385</v>
      </c>
      <c r="R90" s="37" t="e">
        <f>NA()</f>
        <v>#N/A</v>
      </c>
      <c r="S90" s="3" t="e">
        <f>+K90/R90</f>
        <v>#N/A</v>
      </c>
      <c r="T90" s="5"/>
      <c r="U90" s="5"/>
      <c r="V90" s="5"/>
      <c r="W90" s="5"/>
      <c r="X90" s="5"/>
      <c r="Y90" s="5"/>
      <c r="Z90" s="5"/>
      <c r="AA90" s="5"/>
      <c r="AB90" s="5"/>
      <c r="AC90" s="5"/>
      <c r="AD90" s="5"/>
      <c r="AE90" s="5"/>
      <c r="AF90" s="5"/>
      <c r="AG90" s="5"/>
      <c r="AH90" s="5"/>
      <c r="AI90" s="5"/>
      <c r="AJ90" s="5"/>
      <c r="AK90" s="16"/>
      <c r="AL90" s="42"/>
      <c r="AM90" s="16"/>
      <c r="AN90" s="19"/>
    </row>
    <row r="91" spans="1:41" x14ac:dyDescent="0.25">
      <c r="A91" s="5"/>
      <c r="B91" s="5"/>
      <c r="C91" s="5"/>
      <c r="D91" s="5"/>
      <c r="E91" s="5"/>
      <c r="F91" s="5"/>
      <c r="G91" s="5"/>
      <c r="H91" s="5"/>
      <c r="I91" s="5"/>
      <c r="J91" s="5"/>
      <c r="K91">
        <v>55</v>
      </c>
      <c r="L91" s="3">
        <f t="shared" si="19"/>
        <v>23.295176682527035</v>
      </c>
      <c r="M91" s="3">
        <f t="shared" si="19"/>
        <v>15.649623443468487</v>
      </c>
      <c r="N91" s="3">
        <f t="shared" si="20"/>
        <v>27.829146437764205</v>
      </c>
      <c r="O91" s="3">
        <f t="shared" si="21"/>
        <v>1.7122357490679108</v>
      </c>
      <c r="P91" s="3">
        <f t="shared" si="22"/>
        <v>1.6814386833103647</v>
      </c>
      <c r="Q91" s="3">
        <f t="shared" si="23"/>
        <v>27.681413416750051</v>
      </c>
      <c r="R91" s="37">
        <v>5.6</v>
      </c>
      <c r="S91" s="3">
        <f>+K91/R91</f>
        <v>9.8214285714285712</v>
      </c>
      <c r="T91" s="5"/>
      <c r="U91" s="5"/>
      <c r="V91" s="5"/>
      <c r="W91" s="5"/>
      <c r="X91" s="5"/>
      <c r="Y91" s="5"/>
      <c r="Z91" s="5"/>
      <c r="AA91" s="5"/>
      <c r="AB91" s="5"/>
      <c r="AC91" s="5"/>
      <c r="AD91" s="5"/>
      <c r="AE91" s="5"/>
      <c r="AF91" s="5"/>
      <c r="AG91" s="5"/>
      <c r="AH91" s="5"/>
      <c r="AI91" s="5"/>
      <c r="AJ91" s="5"/>
      <c r="AK91" s="16"/>
      <c r="AL91" s="42"/>
      <c r="AM91" s="16"/>
      <c r="AN91" s="19"/>
    </row>
    <row r="92" spans="1:41" x14ac:dyDescent="0.25">
      <c r="A92" s="5"/>
      <c r="B92" s="5"/>
      <c r="C92" s="5"/>
      <c r="D92" s="5"/>
      <c r="E92" s="5"/>
      <c r="F92" s="5"/>
      <c r="G92" s="5"/>
      <c r="H92" s="5"/>
      <c r="I92" s="5"/>
      <c r="J92" s="10" t="s">
        <v>125</v>
      </c>
      <c r="K92">
        <v>17</v>
      </c>
      <c r="L92" s="3">
        <f t="shared" si="19"/>
        <v>67.399544971763575</v>
      </c>
      <c r="M92" s="3">
        <f t="shared" si="19"/>
        <v>47.940586743651181</v>
      </c>
      <c r="N92" s="3">
        <f t="shared" si="20"/>
        <v>77.426281875498773</v>
      </c>
      <c r="O92" s="3">
        <f t="shared" si="21"/>
        <v>0.57513309087952924</v>
      </c>
      <c r="P92" s="3">
        <f t="shared" si="22"/>
        <v>0.60435555228144078</v>
      </c>
      <c r="Q92" s="3">
        <f t="shared" si="23"/>
        <v>89.557508905280429</v>
      </c>
      <c r="R92" s="37">
        <v>4.5</v>
      </c>
      <c r="S92" s="3">
        <f t="shared" si="12"/>
        <v>3.7777777777777777</v>
      </c>
      <c r="T92" s="10">
        <v>17</v>
      </c>
      <c r="U92" s="10">
        <v>12</v>
      </c>
      <c r="V92" s="10">
        <v>6</v>
      </c>
      <c r="W92" s="53"/>
      <c r="X92" s="10"/>
      <c r="Y92" s="22">
        <v>1</v>
      </c>
      <c r="Z92" s="22">
        <v>1</v>
      </c>
      <c r="AA92" s="10"/>
      <c r="AB92" s="10"/>
      <c r="AC92" s="10"/>
      <c r="AD92" s="10" t="s">
        <v>41</v>
      </c>
      <c r="AE92" s="22">
        <v>1</v>
      </c>
      <c r="AF92" s="10" t="s">
        <v>41</v>
      </c>
      <c r="AG92" s="10" t="s">
        <v>41</v>
      </c>
      <c r="AH92" s="10"/>
      <c r="AI92" s="10"/>
      <c r="AJ92" s="10" t="s">
        <v>41</v>
      </c>
      <c r="AK92" s="14">
        <v>16.755132</v>
      </c>
      <c r="AL92" s="41">
        <v>67</v>
      </c>
      <c r="AM92" s="40">
        <v>38231</v>
      </c>
      <c r="AN92" s="50">
        <v>600</v>
      </c>
    </row>
    <row r="93" spans="1:41" x14ac:dyDescent="0.25">
      <c r="A93" s="5"/>
      <c r="B93" s="5"/>
      <c r="C93" s="5"/>
      <c r="D93" s="5"/>
      <c r="E93" s="5"/>
      <c r="F93" s="5"/>
      <c r="G93" s="5"/>
      <c r="H93" s="5"/>
      <c r="I93" s="5"/>
      <c r="J93" s="5"/>
      <c r="K93">
        <v>85</v>
      </c>
      <c r="L93" s="3">
        <f t="shared" si="19"/>
        <v>15.194796689990095</v>
      </c>
      <c r="M93" s="3">
        <f t="shared" si="19"/>
        <v>10.162925030128962</v>
      </c>
      <c r="N93" s="3">
        <f t="shared" si="20"/>
        <v>18.214690593960974</v>
      </c>
      <c r="O93" s="3">
        <f t="shared" si="21"/>
        <v>2.6308234420602283</v>
      </c>
      <c r="P93" s="3">
        <f t="shared" si="22"/>
        <v>2.5689705297261352</v>
      </c>
      <c r="Q93" s="3">
        <f t="shared" si="23"/>
        <v>17.911502861583408</v>
      </c>
      <c r="R93" s="37">
        <v>5.6</v>
      </c>
      <c r="S93" s="3">
        <f t="shared" si="12"/>
        <v>15.178571428571429</v>
      </c>
      <c r="T93" s="5"/>
      <c r="U93" s="5"/>
      <c r="V93" s="5"/>
      <c r="W93" s="5"/>
      <c r="X93" s="5"/>
      <c r="Y93" s="5"/>
      <c r="Z93" s="5"/>
      <c r="AA93" s="5"/>
      <c r="AB93" s="5"/>
      <c r="AC93" s="5"/>
      <c r="AD93" s="5"/>
      <c r="AE93" s="5"/>
      <c r="AF93" s="5"/>
      <c r="AG93" s="5"/>
      <c r="AH93" s="5"/>
      <c r="AI93" s="5"/>
      <c r="AJ93" s="5"/>
      <c r="AK93" s="16"/>
      <c r="AL93" s="42"/>
      <c r="AM93" s="16"/>
      <c r="AN93" s="19"/>
    </row>
    <row r="94" spans="1:41" x14ac:dyDescent="0.25">
      <c r="A94" s="5"/>
      <c r="B94" s="5"/>
      <c r="C94" s="5"/>
      <c r="D94" s="5"/>
      <c r="E94" s="5"/>
      <c r="F94" s="5"/>
      <c r="G94" s="5"/>
      <c r="H94" s="5"/>
      <c r="I94" s="5"/>
      <c r="J94" s="10" t="s">
        <v>134</v>
      </c>
      <c r="K94">
        <v>60</v>
      </c>
      <c r="L94" s="3">
        <f t="shared" si="19"/>
        <v>21.400692271136315</v>
      </c>
      <c r="M94" s="3">
        <f t="shared" si="19"/>
        <v>14.359705387248949</v>
      </c>
      <c r="N94" s="3">
        <f t="shared" si="20"/>
        <v>25.589657669497615</v>
      </c>
      <c r="O94" s="3">
        <f t="shared" si="21"/>
        <v>1.8649269919357574</v>
      </c>
      <c r="P94" s="3">
        <f t="shared" si="22"/>
        <v>1.8285904386967218</v>
      </c>
      <c r="Q94" s="3">
        <f t="shared" si="23"/>
        <v>25.374628989685771</v>
      </c>
      <c r="R94" s="37">
        <v>2.8</v>
      </c>
      <c r="S94" s="3">
        <f t="shared" si="12"/>
        <v>21.428571428571431</v>
      </c>
      <c r="T94" s="10">
        <v>12</v>
      </c>
      <c r="U94" s="10">
        <v>8</v>
      </c>
      <c r="V94" s="10">
        <v>7</v>
      </c>
      <c r="W94" s="10"/>
      <c r="X94" s="10"/>
      <c r="Y94" s="22">
        <v>1</v>
      </c>
      <c r="Z94" s="10"/>
      <c r="AA94" s="10"/>
      <c r="AB94" s="10"/>
      <c r="AC94" s="10"/>
      <c r="AD94" s="22">
        <v>1</v>
      </c>
      <c r="AE94" s="22">
        <v>1</v>
      </c>
      <c r="AF94" s="22">
        <v>1</v>
      </c>
      <c r="AG94" s="10"/>
      <c r="AH94" s="10"/>
      <c r="AI94" s="10"/>
      <c r="AJ94" s="22">
        <v>1</v>
      </c>
      <c r="AK94" s="14">
        <v>11.8</v>
      </c>
      <c r="AL94" s="41">
        <v>52</v>
      </c>
      <c r="AM94" s="40">
        <v>38412</v>
      </c>
      <c r="AN94" s="50">
        <v>449.95</v>
      </c>
    </row>
    <row r="95" spans="1:41" x14ac:dyDescent="0.25">
      <c r="A95" s="61" t="s">
        <v>114</v>
      </c>
      <c r="B95" s="10">
        <v>2464</v>
      </c>
      <c r="C95" s="10">
        <v>1648</v>
      </c>
      <c r="D95" s="10">
        <v>28.7</v>
      </c>
      <c r="E95" s="10">
        <v>19.100000000000001</v>
      </c>
      <c r="F95" s="10">
        <f>+B95/C95</f>
        <v>1.4951456310679612</v>
      </c>
      <c r="G95" s="10">
        <f>+SQRT(D95^2+E95^2)</f>
        <v>34.474628351876397</v>
      </c>
      <c r="H95" s="10">
        <f>+D95*E95</f>
        <v>548.17000000000007</v>
      </c>
      <c r="I95" s="10">
        <f>+B95/D95</f>
        <v>85.853658536585371</v>
      </c>
      <c r="J95" s="10" t="s">
        <v>113</v>
      </c>
      <c r="K95" s="12">
        <v>40</v>
      </c>
      <c r="L95" s="3">
        <f>DEGREES(2*ATAN(D$95/2/$K95))</f>
        <v>39.47089676407446</v>
      </c>
      <c r="M95" s="3">
        <f>DEGREES(2*ATAN(E$95/2/$K95))</f>
        <v>26.855989987255082</v>
      </c>
      <c r="N95" s="3">
        <f t="shared" si="8"/>
        <v>46.625595325098402</v>
      </c>
      <c r="O95" s="3">
        <f t="shared" si="9"/>
        <v>1.0041288167979818</v>
      </c>
      <c r="P95" s="3">
        <f t="shared" si="13"/>
        <v>1.0035904746673991</v>
      </c>
      <c r="Q95" s="3">
        <f>DEGREES(ATAN(1/(K95*I$95)))*60*60</f>
        <v>60.062903530555488</v>
      </c>
      <c r="R95" s="48"/>
      <c r="S95" s="7"/>
      <c r="T95" s="5"/>
      <c r="U95" s="5"/>
      <c r="V95" s="5"/>
      <c r="W95" s="5"/>
      <c r="X95" s="5"/>
      <c r="Y95" s="5"/>
      <c r="Z95" s="5"/>
      <c r="AA95" s="5"/>
      <c r="AB95" s="5"/>
      <c r="AC95" s="5"/>
      <c r="AD95" s="5"/>
      <c r="AE95" s="5"/>
      <c r="AF95" s="5"/>
      <c r="AG95" s="5"/>
      <c r="AH95" s="5"/>
      <c r="AI95" s="5"/>
      <c r="AJ95" s="5"/>
      <c r="AK95" s="16"/>
      <c r="AL95" s="42"/>
      <c r="AM95" s="16"/>
      <c r="AN95" s="19"/>
    </row>
    <row r="96" spans="1:41" x14ac:dyDescent="0.25">
      <c r="A96" s="61"/>
      <c r="B96" s="5"/>
      <c r="C96" s="5"/>
      <c r="D96" s="5"/>
      <c r="E96" s="5"/>
      <c r="F96" s="5"/>
      <c r="G96" s="5"/>
      <c r="H96" s="5"/>
      <c r="I96" s="5"/>
      <c r="J96" s="5"/>
      <c r="K96" s="5"/>
      <c r="L96" s="7"/>
      <c r="M96" s="7"/>
      <c r="N96" s="7"/>
      <c r="O96" s="7"/>
      <c r="P96" s="7"/>
      <c r="Q96" s="7"/>
      <c r="R96" s="48"/>
      <c r="S96" s="7"/>
      <c r="T96" s="5"/>
      <c r="U96" s="5"/>
      <c r="V96" s="5"/>
      <c r="W96" s="5"/>
      <c r="X96" s="5"/>
      <c r="Y96" s="5"/>
      <c r="Z96" s="5"/>
      <c r="AA96" s="5"/>
      <c r="AB96" s="5"/>
      <c r="AC96" s="5"/>
      <c r="AD96" s="5"/>
      <c r="AE96" s="5"/>
      <c r="AF96" s="5"/>
      <c r="AG96" s="5"/>
      <c r="AH96" s="5"/>
      <c r="AI96" s="5"/>
      <c r="AJ96" s="5"/>
      <c r="AK96" s="16"/>
      <c r="AL96" s="42"/>
      <c r="AM96" s="16"/>
      <c r="AN96" s="19"/>
    </row>
    <row r="97" spans="1:40" x14ac:dyDescent="0.25">
      <c r="A97" s="61" t="s">
        <v>138</v>
      </c>
      <c r="B97" s="10">
        <v>3504</v>
      </c>
      <c r="C97" s="10">
        <v>2336</v>
      </c>
      <c r="D97" s="5"/>
      <c r="E97" s="5"/>
      <c r="F97" s="5"/>
      <c r="G97" s="5"/>
      <c r="H97" s="5"/>
      <c r="I97" s="10">
        <f>+B97/D95</f>
        <v>122.09059233449477</v>
      </c>
      <c r="J97" s="5"/>
      <c r="K97" s="5"/>
      <c r="L97" s="7"/>
      <c r="M97" s="7"/>
      <c r="N97" s="7"/>
      <c r="O97" s="7"/>
      <c r="P97" s="7"/>
      <c r="Q97" s="3">
        <f>DEGREES(ATAN(1/(K95*I$97)))*60*60</f>
        <v>42.236014958293083</v>
      </c>
      <c r="R97" s="48"/>
      <c r="S97" s="7"/>
      <c r="T97" s="5"/>
      <c r="U97" s="5"/>
      <c r="V97" s="5"/>
      <c r="W97" s="5"/>
      <c r="X97" s="5"/>
      <c r="Y97" s="5"/>
      <c r="Z97" s="5"/>
      <c r="AA97" s="5"/>
      <c r="AB97" s="5"/>
      <c r="AC97" s="5"/>
      <c r="AD97" s="5"/>
      <c r="AE97" s="5"/>
      <c r="AF97" s="5"/>
      <c r="AG97" s="5"/>
      <c r="AH97" s="5"/>
      <c r="AI97" s="5"/>
      <c r="AJ97" s="5"/>
      <c r="AK97" s="16"/>
      <c r="AL97" s="42"/>
      <c r="AM97" s="16"/>
      <c r="AN97" s="19"/>
    </row>
    <row r="98" spans="1:40" x14ac:dyDescent="0.25">
      <c r="A98" s="61"/>
      <c r="B98" s="5"/>
      <c r="C98" s="5"/>
      <c r="D98" s="5"/>
      <c r="E98" s="5"/>
      <c r="F98" s="5"/>
      <c r="G98" s="5"/>
      <c r="H98" s="5"/>
      <c r="I98" s="5"/>
      <c r="J98" s="5"/>
      <c r="K98" s="5"/>
      <c r="L98" s="7"/>
      <c r="M98" s="7"/>
      <c r="N98" s="7"/>
      <c r="O98" s="7"/>
      <c r="P98" s="7"/>
      <c r="Q98" s="7"/>
      <c r="R98" s="48"/>
      <c r="S98" s="7"/>
      <c r="T98" s="5"/>
      <c r="U98" s="5"/>
      <c r="V98" s="5"/>
      <c r="W98" s="5"/>
      <c r="X98" s="5"/>
      <c r="Y98" s="5"/>
      <c r="Z98" s="5"/>
      <c r="AA98" s="5"/>
      <c r="AB98" s="5"/>
      <c r="AC98" s="5"/>
      <c r="AD98" s="5"/>
      <c r="AE98" s="5"/>
      <c r="AF98" s="5"/>
      <c r="AG98" s="5"/>
      <c r="AH98" s="5"/>
      <c r="AI98" s="5"/>
      <c r="AJ98" s="5"/>
      <c r="AK98" s="16"/>
      <c r="AL98" s="42"/>
      <c r="AM98" s="16"/>
      <c r="AN98" s="19"/>
    </row>
    <row r="99" spans="1:40" x14ac:dyDescent="0.25">
      <c r="A99" s="61" t="s">
        <v>112</v>
      </c>
      <c r="B99" s="10">
        <v>4064</v>
      </c>
      <c r="C99" s="10">
        <v>2704</v>
      </c>
      <c r="D99" s="10">
        <v>35.799999999999997</v>
      </c>
      <c r="E99" s="10">
        <v>23.8</v>
      </c>
      <c r="F99" s="10">
        <f>+B99/C99</f>
        <v>1.5029585798816567</v>
      </c>
      <c r="G99" s="10">
        <f>+SQRT(D99^2+E99^2)</f>
        <v>42.989300994549794</v>
      </c>
      <c r="H99" s="10">
        <f>+D99*E99</f>
        <v>852.04</v>
      </c>
      <c r="I99" s="10">
        <f>+B99/D99</f>
        <v>113.51955307262571</v>
      </c>
      <c r="J99" s="10" t="s">
        <v>113</v>
      </c>
      <c r="K99" s="12">
        <v>49.5</v>
      </c>
      <c r="L99" s="3">
        <f>DEGREES(2*ATAN(D$99/2/$K99))</f>
        <v>39.76161869062669</v>
      </c>
      <c r="M99" s="3">
        <f>DEGREES(2*ATAN(E$99/2/$K99))</f>
        <v>27.035240552519987</v>
      </c>
      <c r="N99" s="3">
        <f>DEGREES(2*ATAN(SQRT(TAN(RADIANS(L99)/2)^2+TAN(RADIANS(M99)/2)^2)))</f>
        <v>46.944380870133962</v>
      </c>
      <c r="O99" s="3">
        <f>+SQRT(L$5*M$5/(L99*M99))</f>
        <v>0.99712903739102221</v>
      </c>
      <c r="P99" s="3">
        <f>+N$5/N99</f>
        <v>0.99677538560819112</v>
      </c>
      <c r="Q99" s="3">
        <f>DEGREES(ATAN(1/(K99*I$99)))*60*60</f>
        <v>36.707030868192916</v>
      </c>
      <c r="R99" s="48"/>
      <c r="S99" s="7"/>
      <c r="T99" s="5"/>
      <c r="U99" s="5"/>
      <c r="V99" s="5"/>
      <c r="W99" s="5"/>
      <c r="X99" s="5"/>
      <c r="Y99" s="5"/>
      <c r="Z99" s="5"/>
      <c r="AA99" s="5"/>
      <c r="AB99" s="5"/>
      <c r="AC99" s="5"/>
      <c r="AD99" s="5"/>
      <c r="AE99" s="5"/>
      <c r="AF99" s="5"/>
      <c r="AG99" s="5"/>
      <c r="AH99" s="5"/>
      <c r="AI99" s="5"/>
      <c r="AJ99" s="5"/>
      <c r="AK99" s="16"/>
      <c r="AL99" s="42"/>
      <c r="AM99" s="16"/>
      <c r="AN99" s="19"/>
    </row>
    <row r="100" spans="1:40" x14ac:dyDescent="0.25">
      <c r="A100" s="61"/>
      <c r="B100" s="5"/>
      <c r="C100" s="5"/>
      <c r="D100" s="5"/>
      <c r="E100" s="5"/>
      <c r="F100" s="5"/>
      <c r="G100" s="5"/>
      <c r="H100" s="5"/>
      <c r="I100" s="5"/>
      <c r="J100" s="5"/>
      <c r="K100" s="5"/>
      <c r="L100" s="7"/>
      <c r="M100" s="7"/>
      <c r="N100" s="7"/>
      <c r="O100" s="7"/>
      <c r="P100" s="7"/>
      <c r="Q100" s="7"/>
      <c r="R100" s="48"/>
      <c r="S100" s="7"/>
      <c r="T100" s="5"/>
      <c r="U100" s="5"/>
      <c r="V100" s="5"/>
      <c r="W100" s="5"/>
      <c r="X100" s="5"/>
      <c r="Y100" s="5"/>
      <c r="Z100" s="5"/>
      <c r="AA100" s="5"/>
      <c r="AB100" s="5"/>
      <c r="AC100" s="5"/>
      <c r="AD100" s="5"/>
      <c r="AE100" s="5"/>
      <c r="AF100" s="5"/>
      <c r="AG100" s="5"/>
      <c r="AH100" s="5"/>
      <c r="AI100" s="5"/>
      <c r="AJ100" s="5"/>
      <c r="AK100" s="16"/>
      <c r="AL100" s="42"/>
      <c r="AM100" s="16"/>
      <c r="AN100" s="19"/>
    </row>
    <row r="101" spans="1:40" x14ac:dyDescent="0.25">
      <c r="A101" s="61" t="s">
        <v>139</v>
      </c>
      <c r="B101" s="10">
        <v>4992</v>
      </c>
      <c r="C101" s="10">
        <v>3328</v>
      </c>
      <c r="D101" s="10">
        <v>36</v>
      </c>
      <c r="E101" s="10">
        <v>24</v>
      </c>
      <c r="F101" s="10">
        <f>+B101/C101</f>
        <v>1.5</v>
      </c>
      <c r="G101" s="10">
        <f>+SQRT(D101^2+E101^2)</f>
        <v>43.266615305567875</v>
      </c>
      <c r="H101" s="10">
        <f>+D101*E101</f>
        <v>864</v>
      </c>
      <c r="I101" s="10">
        <f>+B101/D101</f>
        <v>138.66666666666666</v>
      </c>
      <c r="J101" s="10" t="s">
        <v>113</v>
      </c>
      <c r="K101" s="12">
        <v>50</v>
      </c>
      <c r="L101" s="3">
        <f>DEGREES(2*ATAN(D$101/2/$K101))</f>
        <v>39.597752709049864</v>
      </c>
      <c r="M101" s="3">
        <f>DEGREES(2*ATAN(E$101/2/$K101))</f>
        <v>26.991466561591622</v>
      </c>
      <c r="N101" s="3">
        <f>DEGREES(2*ATAN(SQRT(TAN(RADIANS(L101)/2)^2+TAN(RADIANS(M101)/2)^2)))</f>
        <v>46.793003343965573</v>
      </c>
      <c r="O101" s="3">
        <f>+SQRT(L$5*M$5/(L101*M101))</f>
        <v>1</v>
      </c>
      <c r="P101" s="3">
        <f>+N$5/N101</f>
        <v>1</v>
      </c>
      <c r="Q101" s="3">
        <f>DEGREES(ATAN(1/(K101*I$101)))*60*60</f>
        <v>29.749731463964547</v>
      </c>
      <c r="R101" s="48"/>
      <c r="S101" s="7"/>
      <c r="T101" s="5"/>
      <c r="U101" s="5"/>
      <c r="V101" s="5"/>
      <c r="W101" s="5"/>
      <c r="X101" s="5"/>
      <c r="Y101" s="5"/>
      <c r="Z101" s="5"/>
      <c r="AA101" s="5"/>
      <c r="AB101" s="5"/>
      <c r="AC101" s="5"/>
      <c r="AD101" s="5"/>
      <c r="AE101" s="5"/>
      <c r="AF101" s="5"/>
      <c r="AG101" s="5"/>
      <c r="AH101" s="5"/>
      <c r="AI101" s="5"/>
      <c r="AJ101" s="5"/>
      <c r="AK101" s="16"/>
      <c r="AL101" s="42"/>
      <c r="AM101" s="16"/>
      <c r="AN101" s="19"/>
    </row>
    <row r="102" spans="1:40" x14ac:dyDescent="0.25">
      <c r="A102" s="61"/>
      <c r="B102" s="5"/>
      <c r="C102" s="5"/>
      <c r="D102" s="5"/>
      <c r="E102" s="5"/>
      <c r="F102" s="5"/>
      <c r="G102" s="5"/>
      <c r="H102" s="5"/>
      <c r="I102" s="5"/>
      <c r="J102" s="5"/>
      <c r="K102" s="5"/>
      <c r="L102" s="7"/>
      <c r="M102" s="7"/>
      <c r="N102" s="7"/>
      <c r="O102" s="7"/>
      <c r="P102" s="7"/>
      <c r="Q102" s="7"/>
      <c r="R102" s="48"/>
      <c r="S102" s="7"/>
      <c r="T102" s="5"/>
      <c r="U102" s="5"/>
      <c r="V102" s="5"/>
      <c r="W102" s="5"/>
      <c r="X102" s="5"/>
      <c r="Y102" s="5"/>
      <c r="Z102" s="5"/>
      <c r="AA102" s="5"/>
      <c r="AB102" s="5"/>
      <c r="AC102" s="5"/>
      <c r="AD102" s="5"/>
      <c r="AE102" s="5"/>
      <c r="AF102" s="5"/>
      <c r="AG102" s="5"/>
      <c r="AH102" s="5"/>
      <c r="AI102" s="5"/>
      <c r="AJ102" s="5"/>
      <c r="AK102" s="16"/>
      <c r="AL102" s="42"/>
      <c r="AM102" s="16"/>
      <c r="AN102" s="19"/>
    </row>
    <row r="103" spans="1:40" x14ac:dyDescent="0.25">
      <c r="A103" s="61" t="s">
        <v>140</v>
      </c>
      <c r="B103" s="10">
        <v>4368</v>
      </c>
      <c r="C103" s="10">
        <v>2912</v>
      </c>
      <c r="D103" s="10">
        <v>35.799999999999997</v>
      </c>
      <c r="E103" s="10">
        <v>23.9</v>
      </c>
      <c r="F103" s="10">
        <f>+B103/C103</f>
        <v>1.5</v>
      </c>
      <c r="G103" s="10">
        <f>+SQRT(D103^2+E103^2)</f>
        <v>43.044744162324861</v>
      </c>
      <c r="H103" s="10">
        <f>+D103*E103</f>
        <v>855.61999999999989</v>
      </c>
      <c r="I103" s="10">
        <f>+B103/D103</f>
        <v>122.01117318435755</v>
      </c>
      <c r="J103" s="10" t="s">
        <v>113</v>
      </c>
      <c r="K103" s="12">
        <v>49.5</v>
      </c>
      <c r="L103" s="3">
        <f>DEGREES(2*ATAN(D$103/2/$K103))</f>
        <v>39.76161869062669</v>
      </c>
      <c r="M103" s="3">
        <f>DEGREES(2*ATAN(E$103/2/$K103))</f>
        <v>27.14464033860078</v>
      </c>
      <c r="N103" s="3">
        <f>DEGREES(2*ATAN(SQRT(TAN(RADIANS(L103)/2)^2+TAN(RADIANS(M103)/2)^2)))</f>
        <v>46.998363662913931</v>
      </c>
      <c r="O103" s="3">
        <f>+SQRT(L$5*M$5/(L103*M103))</f>
        <v>0.99511766728571094</v>
      </c>
      <c r="P103" s="3">
        <f>+N$5/N103</f>
        <v>0.99563047938389382</v>
      </c>
      <c r="Q103" s="3">
        <f>DEGREES(ATAN(1/(K103*I$103)))*60*60</f>
        <v>34.152329134595519</v>
      </c>
      <c r="R103" s="48"/>
      <c r="S103" s="7"/>
      <c r="T103" s="5"/>
      <c r="U103" s="5"/>
      <c r="V103" s="5"/>
      <c r="W103" s="5"/>
      <c r="X103" s="5"/>
      <c r="Y103" s="5"/>
      <c r="Z103" s="5"/>
      <c r="AA103" s="5"/>
      <c r="AB103" s="5"/>
      <c r="AC103" s="5"/>
      <c r="AD103" s="5"/>
      <c r="AE103" s="5"/>
      <c r="AF103" s="5"/>
      <c r="AG103" s="5"/>
      <c r="AH103" s="5"/>
      <c r="AI103" s="5"/>
      <c r="AJ103" s="5"/>
      <c r="AK103" s="16"/>
      <c r="AL103" s="42"/>
      <c r="AM103" s="16"/>
      <c r="AN103" s="19"/>
    </row>
    <row r="104" spans="1:40" x14ac:dyDescent="0.25">
      <c r="A104" s="61"/>
      <c r="B104" s="5"/>
      <c r="C104" s="5"/>
      <c r="D104" s="5"/>
      <c r="E104" s="5"/>
      <c r="F104" s="5"/>
      <c r="G104" s="5"/>
      <c r="H104" s="5"/>
      <c r="I104" s="5"/>
      <c r="J104" s="5"/>
      <c r="K104" s="5"/>
      <c r="L104" s="7"/>
      <c r="M104" s="7"/>
      <c r="N104" s="7"/>
      <c r="O104" s="7"/>
      <c r="P104" s="7"/>
      <c r="Q104" s="7"/>
      <c r="R104" s="48"/>
      <c r="S104" s="7"/>
      <c r="T104" s="5"/>
      <c r="U104" s="5"/>
      <c r="V104" s="5"/>
      <c r="W104" s="5"/>
      <c r="X104" s="5"/>
      <c r="Y104" s="5"/>
      <c r="Z104" s="5"/>
      <c r="AA104" s="5"/>
      <c r="AB104" s="5"/>
      <c r="AC104" s="5"/>
      <c r="AD104" s="5"/>
      <c r="AE104" s="5"/>
      <c r="AF104" s="5"/>
      <c r="AG104" s="5"/>
      <c r="AH104" s="5"/>
      <c r="AI104" s="5"/>
      <c r="AJ104" s="5"/>
      <c r="AK104" s="16"/>
      <c r="AL104" s="42"/>
      <c r="AM104" s="16"/>
      <c r="AN104" s="19"/>
    </row>
    <row r="105" spans="1:40" x14ac:dyDescent="0.25">
      <c r="A105" t="s">
        <v>7</v>
      </c>
      <c r="B105">
        <v>2272</v>
      </c>
      <c r="C105">
        <v>1704</v>
      </c>
      <c r="D105">
        <f>+SQRT(H105*F105)</f>
        <v>7.1330218000508028</v>
      </c>
      <c r="E105">
        <f>+D105/F105</f>
        <v>5.3497663500381023</v>
      </c>
      <c r="F105">
        <f>+B105/C105</f>
        <v>1.3333333333333333</v>
      </c>
      <c r="G105" s="1">
        <f>+SQRT(D105^2+E105^2)</f>
        <v>8.9162772500635032</v>
      </c>
      <c r="H105" s="8">
        <v>38.159999999999997</v>
      </c>
      <c r="I105" s="1">
        <f>+B105/D105</f>
        <v>318.51858352428115</v>
      </c>
      <c r="J105" s="12" t="s">
        <v>13</v>
      </c>
      <c r="K105">
        <v>7.2</v>
      </c>
      <c r="L105" s="3">
        <f t="shared" ref="L105:M109" si="24">DEGREES(2*ATAN(D$105/2/$K105))</f>
        <v>52.702913077359092</v>
      </c>
      <c r="M105" s="3">
        <f t="shared" si="24"/>
        <v>40.761226285669991</v>
      </c>
      <c r="N105" s="3">
        <f t="shared" ref="N105:N115" si="25">DEGREES(2*ATAN(SQRT(TAN(RADIANS(L105)/2)^2+TAN(RADIANS(M105)/2)^2)))</f>
        <v>63.530416884948878</v>
      </c>
      <c r="O105" s="3">
        <f t="shared" si="9"/>
        <v>0.70535472463624027</v>
      </c>
      <c r="P105" s="3">
        <f t="shared" ref="P105:P115" si="26">+N$5/N105</f>
        <v>0.73654488099308224</v>
      </c>
      <c r="Q105" s="3">
        <f>DEGREES(ATAN(1/(K105*I$105)))*60*60</f>
        <v>89.941025179423576</v>
      </c>
      <c r="R105" s="37">
        <v>2</v>
      </c>
      <c r="S105" s="3">
        <f t="shared" si="12"/>
        <v>3.6</v>
      </c>
      <c r="T105" s="33" t="s">
        <v>41</v>
      </c>
      <c r="U105" s="33" t="s">
        <v>41</v>
      </c>
      <c r="V105" s="33" t="s">
        <v>41</v>
      </c>
      <c r="W105" s="33"/>
      <c r="X105" s="10"/>
      <c r="Y105" s="10"/>
      <c r="Z105" s="10"/>
      <c r="AA105" s="10"/>
      <c r="AB105" s="10"/>
      <c r="AC105" s="10"/>
      <c r="AD105" s="10"/>
      <c r="AE105" s="10"/>
      <c r="AF105" s="10"/>
      <c r="AG105" s="10"/>
      <c r="AH105" s="10"/>
      <c r="AI105" s="10"/>
      <c r="AJ105" s="10"/>
      <c r="AK105" s="17" t="e">
        <f>NA()</f>
        <v>#N/A</v>
      </c>
      <c r="AL105" s="46" t="e">
        <f>NA()</f>
        <v>#N/A</v>
      </c>
      <c r="AM105" s="40">
        <v>37561</v>
      </c>
      <c r="AN105" s="18" t="e">
        <f>NA()</f>
        <v>#N/A</v>
      </c>
    </row>
    <row r="106" spans="1:40" x14ac:dyDescent="0.25">
      <c r="A106" s="5"/>
      <c r="B106" s="5"/>
      <c r="C106" s="5"/>
      <c r="D106" s="5"/>
      <c r="E106" s="5"/>
      <c r="F106" s="5"/>
      <c r="G106" s="5"/>
      <c r="H106" s="5"/>
      <c r="I106" s="5"/>
      <c r="J106" s="5"/>
      <c r="K106" s="12">
        <v>10.4</v>
      </c>
      <c r="L106" s="3">
        <f t="shared" si="24"/>
        <v>37.857142812757637</v>
      </c>
      <c r="M106" s="3">
        <f t="shared" si="24"/>
        <v>28.847720950586123</v>
      </c>
      <c r="N106" s="3">
        <f t="shared" si="25"/>
        <v>46.406449975090958</v>
      </c>
      <c r="O106" s="3">
        <f t="shared" si="9"/>
        <v>0.98927911307044958</v>
      </c>
      <c r="P106" s="3">
        <f t="shared" si="26"/>
        <v>1.008329733670257</v>
      </c>
      <c r="Q106" s="3">
        <f>DEGREES(ATAN(1/(K106*I$105)))*60*60</f>
        <v>62.266865640685161</v>
      </c>
      <c r="R106" s="37" t="e">
        <f>NA()</f>
        <v>#N/A</v>
      </c>
      <c r="S106" s="3" t="e">
        <f t="shared" si="12"/>
        <v>#N/A</v>
      </c>
      <c r="T106" s="5"/>
      <c r="U106" s="5"/>
      <c r="V106" s="5"/>
      <c r="W106" s="5"/>
      <c r="X106" s="5"/>
      <c r="Y106" s="5"/>
      <c r="Z106" s="5"/>
      <c r="AA106" s="5"/>
      <c r="AB106" s="5"/>
      <c r="AC106" s="5"/>
      <c r="AD106" s="5"/>
      <c r="AE106" s="5"/>
      <c r="AF106" s="5"/>
      <c r="AG106" s="5"/>
      <c r="AH106" s="5"/>
      <c r="AI106" s="5"/>
      <c r="AJ106" s="5"/>
      <c r="AK106" s="16"/>
      <c r="AL106" s="42"/>
      <c r="AM106" s="16"/>
      <c r="AN106" s="19"/>
    </row>
    <row r="107" spans="1:40" x14ac:dyDescent="0.25">
      <c r="A107" s="5"/>
      <c r="B107" s="5"/>
      <c r="C107" s="5"/>
      <c r="D107" s="5"/>
      <c r="E107" s="5"/>
      <c r="F107" s="5"/>
      <c r="G107" s="5"/>
      <c r="H107" s="5"/>
      <c r="I107" s="5"/>
      <c r="J107" s="5"/>
      <c r="K107">
        <f>4*K105</f>
        <v>28.8</v>
      </c>
      <c r="L107" s="3">
        <f t="shared" si="24"/>
        <v>14.118815063813253</v>
      </c>
      <c r="M107" s="3">
        <f t="shared" si="24"/>
        <v>10.612576106407458</v>
      </c>
      <c r="N107" s="3">
        <f t="shared" si="25"/>
        <v>17.59869075833894</v>
      </c>
      <c r="O107" s="3">
        <f t="shared" si="9"/>
        <v>2.6707852987488336</v>
      </c>
      <c r="P107" s="3">
        <f t="shared" si="26"/>
        <v>2.6588911633550492</v>
      </c>
      <c r="Q107" s="3">
        <f>DEGREES(ATAN(1/(K107*I$105)))*60*60</f>
        <v>22.485257630876927</v>
      </c>
      <c r="R107" s="37">
        <v>3</v>
      </c>
      <c r="S107" s="3">
        <f t="shared" si="12"/>
        <v>9.6</v>
      </c>
      <c r="T107" s="5"/>
      <c r="U107" s="5"/>
      <c r="V107" s="5"/>
      <c r="W107" s="5"/>
      <c r="X107" s="5"/>
      <c r="Y107" s="5"/>
      <c r="Z107" s="5"/>
      <c r="AA107" s="5"/>
      <c r="AB107" s="5"/>
      <c r="AC107" s="5"/>
      <c r="AD107" s="5"/>
      <c r="AE107" s="5"/>
      <c r="AF107" s="5"/>
      <c r="AG107" s="5"/>
      <c r="AH107" s="5"/>
      <c r="AI107" s="5"/>
      <c r="AJ107" s="5"/>
      <c r="AK107" s="16"/>
      <c r="AL107" s="42"/>
      <c r="AM107" s="16"/>
      <c r="AN107" s="19"/>
    </row>
    <row r="108" spans="1:40" x14ac:dyDescent="0.25">
      <c r="A108" s="5"/>
      <c r="B108" s="5"/>
      <c r="C108" s="5"/>
      <c r="D108" s="5"/>
      <c r="E108" s="5"/>
      <c r="F108" s="5"/>
      <c r="G108" s="5"/>
      <c r="H108" s="5"/>
      <c r="I108" s="5"/>
      <c r="J108" t="s">
        <v>21</v>
      </c>
      <c r="K108">
        <f>+K105*0.7</f>
        <v>5.04</v>
      </c>
      <c r="L108" s="3">
        <f t="shared" si="24"/>
        <v>70.56958433924045</v>
      </c>
      <c r="M108" s="3">
        <f t="shared" si="24"/>
        <v>55.912537297740194</v>
      </c>
      <c r="N108" s="3">
        <f t="shared" si="25"/>
        <v>82.988817806554522</v>
      </c>
      <c r="O108" s="3">
        <f t="shared" si="9"/>
        <v>0.52045733134871508</v>
      </c>
      <c r="P108" s="3">
        <f t="shared" si="26"/>
        <v>0.56384708905046999</v>
      </c>
      <c r="Q108" s="3">
        <f>DEGREES(ATAN(1/(K108*I$105)))*60*60</f>
        <v>128.4871703520013</v>
      </c>
      <c r="R108" s="37">
        <f>+K108/S108</f>
        <v>1.4</v>
      </c>
      <c r="S108" s="3">
        <f>+S105</f>
        <v>3.6</v>
      </c>
      <c r="T108">
        <v>3</v>
      </c>
      <c r="U108">
        <v>1</v>
      </c>
      <c r="V108" t="e">
        <f>NA()</f>
        <v>#N/A</v>
      </c>
      <c r="AK108" s="13">
        <v>9.6999999999999993</v>
      </c>
      <c r="AL108" s="39">
        <v>58</v>
      </c>
      <c r="AM108" s="40"/>
      <c r="AN108" s="18">
        <v>129.33000000000001</v>
      </c>
    </row>
    <row r="109" spans="1:40" x14ac:dyDescent="0.25">
      <c r="A109" s="5"/>
      <c r="B109" s="5"/>
      <c r="C109" s="5"/>
      <c r="D109" s="5"/>
      <c r="E109" s="5"/>
      <c r="F109" s="5"/>
      <c r="G109" s="5"/>
      <c r="H109" s="5"/>
      <c r="I109" s="5"/>
      <c r="J109" t="s">
        <v>22</v>
      </c>
      <c r="K109">
        <f>1.75*K107</f>
        <v>50.4</v>
      </c>
      <c r="L109" s="3">
        <f t="shared" si="24"/>
        <v>8.0954742765977894</v>
      </c>
      <c r="M109" s="3">
        <f t="shared" si="24"/>
        <v>6.076026243036428</v>
      </c>
      <c r="N109" s="3">
        <f t="shared" si="25"/>
        <v>10.1098985468963</v>
      </c>
      <c r="O109" s="3">
        <f t="shared" si="9"/>
        <v>4.6614125558435378</v>
      </c>
      <c r="P109" s="3">
        <f t="shared" si="26"/>
        <v>4.628434511672805</v>
      </c>
      <c r="Q109" s="3">
        <f>DEGREES(ATAN(1/(K109*I$105)))*60*60</f>
        <v>12.848718680492313</v>
      </c>
      <c r="R109" s="37">
        <f>+K109/S109</f>
        <v>5.25</v>
      </c>
      <c r="S109" s="3">
        <f>+S107</f>
        <v>9.6</v>
      </c>
      <c r="T109">
        <v>3</v>
      </c>
      <c r="U109">
        <v>1</v>
      </c>
      <c r="V109" t="e">
        <f>NA()</f>
        <v>#N/A</v>
      </c>
      <c r="AK109" s="13">
        <v>6.5</v>
      </c>
      <c r="AL109" s="39">
        <v>58</v>
      </c>
      <c r="AM109" s="40"/>
      <c r="AN109" s="18">
        <v>89.47</v>
      </c>
    </row>
    <row r="110" spans="1:40" x14ac:dyDescent="0.25">
      <c r="A110" s="10" t="s">
        <v>129</v>
      </c>
      <c r="B110" s="10">
        <v>2048</v>
      </c>
      <c r="C110" s="10">
        <v>1536</v>
      </c>
      <c r="D110">
        <f>+SQRT(H110*F110)</f>
        <v>7.1365351069922811</v>
      </c>
      <c r="E110">
        <f>+D110/F110</f>
        <v>5.3524013302442111</v>
      </c>
      <c r="F110">
        <f>+B110/C110</f>
        <v>1.3333333333333333</v>
      </c>
      <c r="G110" s="1">
        <f>+SQRT(D110^2+E110^2)</f>
        <v>8.9206688837403512</v>
      </c>
      <c r="H110" s="8">
        <f>7.18*5.32</f>
        <v>38.197600000000001</v>
      </c>
      <c r="I110" s="1">
        <f>+B110/D110</f>
        <v>286.97399638564059</v>
      </c>
      <c r="J110" s="12" t="s">
        <v>130</v>
      </c>
      <c r="K110">
        <v>7.1</v>
      </c>
      <c r="L110" s="3">
        <f t="shared" ref="L110:M112" si="27">DEGREES(2*ATAN(D$110/2/$K110))</f>
        <v>53.365725155116564</v>
      </c>
      <c r="M110" s="3">
        <f t="shared" si="27"/>
        <v>41.305829502705677</v>
      </c>
      <c r="N110" s="3">
        <f t="shared" si="25"/>
        <v>64.275400987713411</v>
      </c>
      <c r="O110" s="3">
        <f t="shared" si="9"/>
        <v>0.69632442477459933</v>
      </c>
      <c r="P110" s="3">
        <f t="shared" si="26"/>
        <v>0.72800795677510133</v>
      </c>
      <c r="Q110" s="3">
        <f>DEGREES(ATAN(1/(K110*I$110)))*60*60</f>
        <v>101.23348873012462</v>
      </c>
      <c r="R110" s="37">
        <v>2.8</v>
      </c>
      <c r="S110" s="3">
        <f t="shared" ref="S110:S115" si="28">+K110/R110</f>
        <v>2.5357142857142856</v>
      </c>
      <c r="T110">
        <v>7</v>
      </c>
      <c r="U110">
        <v>5</v>
      </c>
      <c r="V110" t="s">
        <v>41</v>
      </c>
      <c r="W110" s="10"/>
      <c r="X110" s="10"/>
      <c r="Y110" s="10"/>
      <c r="Z110" s="10"/>
      <c r="AA110" s="10"/>
      <c r="AB110" s="10"/>
      <c r="AC110" s="10"/>
      <c r="AD110" s="10"/>
      <c r="AE110" s="10"/>
      <c r="AF110" s="10"/>
      <c r="AG110" s="10"/>
      <c r="AH110" s="10"/>
      <c r="AI110" s="10"/>
      <c r="AJ110" s="10"/>
      <c r="AK110" s="13">
        <v>11.4</v>
      </c>
      <c r="AL110" s="39" t="e">
        <f>NA()</f>
        <v>#N/A</v>
      </c>
      <c r="AM110" s="40">
        <v>37166</v>
      </c>
      <c r="AN110" s="18" t="e">
        <f>NA()</f>
        <v>#N/A</v>
      </c>
    </row>
    <row r="111" spans="1:40" x14ac:dyDescent="0.25">
      <c r="A111" s="5"/>
      <c r="B111" s="5"/>
      <c r="C111" s="5"/>
      <c r="D111" s="5"/>
      <c r="E111" s="5"/>
      <c r="F111" s="5"/>
      <c r="G111" s="5"/>
      <c r="H111" s="5"/>
      <c r="I111" s="5"/>
      <c r="J111" s="5"/>
      <c r="K111" s="12">
        <v>10.4</v>
      </c>
      <c r="L111" s="3">
        <f t="shared" si="27"/>
        <v>37.874460707761486</v>
      </c>
      <c r="M111" s="3">
        <f t="shared" si="27"/>
        <v>28.861336471175704</v>
      </c>
      <c r="N111" s="3">
        <f t="shared" si="25"/>
        <v>46.426887117171567</v>
      </c>
      <c r="O111" s="3">
        <f t="shared" si="9"/>
        <v>0.98881959236401828</v>
      </c>
      <c r="P111" s="3">
        <f t="shared" si="26"/>
        <v>1.0078858663487389</v>
      </c>
      <c r="Q111" s="3">
        <f>DEGREES(ATAN(1/(K111*I$110)))*60*60</f>
        <v>69.111326999773993</v>
      </c>
      <c r="R111" s="37" t="e">
        <f>NA()</f>
        <v>#N/A</v>
      </c>
      <c r="S111" s="3" t="e">
        <f t="shared" si="28"/>
        <v>#N/A</v>
      </c>
      <c r="T111" s="5"/>
      <c r="U111" s="5"/>
      <c r="V111" s="5"/>
      <c r="W111" s="5"/>
      <c r="X111" s="5"/>
      <c r="Y111" s="5"/>
      <c r="Z111" s="5"/>
      <c r="AA111" s="5"/>
      <c r="AB111" s="5"/>
      <c r="AC111" s="5"/>
      <c r="AD111" s="5"/>
      <c r="AE111" s="5"/>
      <c r="AF111" s="5"/>
      <c r="AG111" s="5"/>
      <c r="AH111" s="5"/>
      <c r="AI111" s="5"/>
      <c r="AJ111" s="5"/>
      <c r="AK111" s="16"/>
      <c r="AL111" s="42"/>
      <c r="AM111" s="47"/>
      <c r="AN111" s="19"/>
    </row>
    <row r="112" spans="1:40" x14ac:dyDescent="0.25">
      <c r="A112" s="5"/>
      <c r="B112" s="5"/>
      <c r="C112" s="5"/>
      <c r="D112" s="5"/>
      <c r="E112" s="5"/>
      <c r="F112" s="5"/>
      <c r="G112" s="5"/>
      <c r="H112" s="5"/>
      <c r="I112" s="5"/>
      <c r="J112" s="5"/>
      <c r="K112">
        <v>21.3</v>
      </c>
      <c r="L112" s="3">
        <f t="shared" si="27"/>
        <v>19.020252297070233</v>
      </c>
      <c r="M112" s="3">
        <f t="shared" si="27"/>
        <v>14.322600982068154</v>
      </c>
      <c r="N112" s="3">
        <f t="shared" si="25"/>
        <v>23.654289211960823</v>
      </c>
      <c r="O112" s="3">
        <f t="shared" si="9"/>
        <v>1.9807489187109404</v>
      </c>
      <c r="P112" s="3">
        <f t="shared" si="26"/>
        <v>1.9782037382169415</v>
      </c>
      <c r="Q112" s="3">
        <f>DEGREES(ATAN(1/(K112*I$110)))*60*60</f>
        <v>33.744498651767827</v>
      </c>
      <c r="R112" s="37">
        <v>4.9000000000000004</v>
      </c>
      <c r="S112" s="3">
        <f t="shared" si="28"/>
        <v>4.3469387755102042</v>
      </c>
      <c r="T112" s="5"/>
      <c r="U112" s="5"/>
      <c r="V112" s="5"/>
      <c r="W112" s="5"/>
      <c r="X112" s="5"/>
      <c r="Y112" s="5"/>
      <c r="Z112" s="5"/>
      <c r="AA112" s="5"/>
      <c r="AB112" s="5"/>
      <c r="AC112" s="5"/>
      <c r="AD112" s="5"/>
      <c r="AE112" s="5"/>
      <c r="AF112" s="5"/>
      <c r="AG112" s="5"/>
      <c r="AH112" s="5"/>
      <c r="AI112" s="5"/>
      <c r="AJ112" s="5"/>
      <c r="AK112" s="16"/>
      <c r="AL112" s="42"/>
      <c r="AM112" s="47"/>
      <c r="AN112" s="19"/>
    </row>
    <row r="113" spans="1:40" ht="12.75" customHeight="1" x14ac:dyDescent="0.25">
      <c r="A113" s="57" t="s">
        <v>34</v>
      </c>
      <c r="B113">
        <v>1600</v>
      </c>
      <c r="C113">
        <v>1200</v>
      </c>
      <c r="D113">
        <f>+SQRT(H113*F113)</f>
        <v>5.2749976303312209</v>
      </c>
      <c r="E113">
        <f>+D113/F113</f>
        <v>3.9562482227484157</v>
      </c>
      <c r="F113">
        <f>+B113/C113</f>
        <v>1.3333333333333333</v>
      </c>
      <c r="G113" s="1">
        <f>+SQRT(D113^2+E113^2)</f>
        <v>6.5937470379140262</v>
      </c>
      <c r="H113" s="9">
        <v>20.869199999999999</v>
      </c>
      <c r="I113" s="1">
        <f>+B113/D113</f>
        <v>303.31767180330178</v>
      </c>
      <c r="J113" s="12" t="s">
        <v>35</v>
      </c>
      <c r="K113" s="10">
        <v>6</v>
      </c>
      <c r="L113" s="3">
        <f t="shared" ref="L113:M115" si="29">DEGREES(2*ATAN(D$113/2/$K113))</f>
        <v>47.458961797856183</v>
      </c>
      <c r="M113" s="3">
        <f t="shared" si="29"/>
        <v>36.493468434802089</v>
      </c>
      <c r="N113" s="3">
        <f t="shared" si="25"/>
        <v>57.575733721855528</v>
      </c>
      <c r="O113" s="3">
        <f t="shared" si="9"/>
        <v>0.78556445259806296</v>
      </c>
      <c r="P113" s="3">
        <f t="shared" si="26"/>
        <v>0.81272092110921945</v>
      </c>
      <c r="Q113" s="3">
        <f>DEGREES(ATAN(1/(K113*I$113)))*60*60</f>
        <v>113.33815152819027</v>
      </c>
      <c r="R113" s="37">
        <v>3.5</v>
      </c>
      <c r="S113" s="3">
        <f t="shared" si="28"/>
        <v>1.7142857142857142</v>
      </c>
      <c r="T113" s="33" t="s">
        <v>41</v>
      </c>
      <c r="U113" s="33" t="s">
        <v>41</v>
      </c>
      <c r="V113" s="33"/>
      <c r="W113" s="33"/>
      <c r="X113" s="10"/>
      <c r="Y113" s="10"/>
      <c r="Z113" s="10"/>
      <c r="AA113" s="10"/>
      <c r="AB113" s="10"/>
      <c r="AC113" s="10"/>
      <c r="AD113" s="10"/>
      <c r="AE113" s="10"/>
      <c r="AF113" s="10"/>
      <c r="AG113" s="10"/>
      <c r="AH113" s="10"/>
      <c r="AI113" s="10"/>
      <c r="AJ113" s="10"/>
      <c r="AK113" s="17" t="e">
        <f>NA()</f>
        <v>#N/A</v>
      </c>
      <c r="AL113" s="46" t="e">
        <f>NA()</f>
        <v>#N/A</v>
      </c>
      <c r="AM113" s="40"/>
      <c r="AN113" s="18" t="e">
        <f>NA()</f>
        <v>#N/A</v>
      </c>
    </row>
    <row r="114" spans="1:40" x14ac:dyDescent="0.25">
      <c r="A114" s="57"/>
      <c r="B114" s="5"/>
      <c r="C114" s="5"/>
      <c r="D114" s="5"/>
      <c r="E114" s="5"/>
      <c r="F114" s="5"/>
      <c r="G114" s="5"/>
      <c r="H114" s="5"/>
      <c r="I114" s="5"/>
      <c r="J114" s="5"/>
      <c r="K114" s="12">
        <v>7.7</v>
      </c>
      <c r="L114" s="3">
        <f t="shared" si="29"/>
        <v>37.815978144317178</v>
      </c>
      <c r="M114" s="3">
        <f t="shared" si="29"/>
        <v>28.815359156795743</v>
      </c>
      <c r="N114" s="3">
        <f t="shared" si="25"/>
        <v>46.357866810902458</v>
      </c>
      <c r="O114" s="3">
        <f t="shared" si="9"/>
        <v>0.99037307098050575</v>
      </c>
      <c r="P114" s="3">
        <f t="shared" si="26"/>
        <v>1.0093864658362748</v>
      </c>
      <c r="Q114" s="3">
        <f>DEGREES(ATAN(1/(K114*I$113)))*60*60</f>
        <v>88.31544624068593</v>
      </c>
      <c r="R114" s="37">
        <f>+R113</f>
        <v>3.5</v>
      </c>
      <c r="S114" s="3">
        <f t="shared" si="28"/>
        <v>2.2000000000000002</v>
      </c>
      <c r="T114" s="5"/>
      <c r="U114" s="5"/>
      <c r="V114" s="5"/>
      <c r="W114" s="5"/>
      <c r="X114" s="5"/>
      <c r="Y114" s="5"/>
      <c r="Z114" s="5"/>
      <c r="AA114" s="5"/>
      <c r="AB114" s="5"/>
      <c r="AC114" s="5"/>
      <c r="AD114" s="5"/>
      <c r="AE114" s="5"/>
      <c r="AF114" s="5"/>
      <c r="AG114" s="5"/>
      <c r="AH114" s="5"/>
      <c r="AI114" s="5"/>
      <c r="AJ114" s="5"/>
      <c r="AK114" s="16"/>
      <c r="AL114" s="42"/>
      <c r="AM114" s="16"/>
      <c r="AN114" s="19"/>
    </row>
    <row r="115" spans="1:40" x14ac:dyDescent="0.25">
      <c r="A115" s="57"/>
      <c r="B115" s="5"/>
      <c r="C115" s="5"/>
      <c r="D115" s="5"/>
      <c r="E115" s="5"/>
      <c r="F115" s="5"/>
      <c r="G115" s="5"/>
      <c r="H115" s="5"/>
      <c r="I115" s="5"/>
      <c r="J115" s="5"/>
      <c r="K115">
        <v>18</v>
      </c>
      <c r="L115" s="3">
        <f t="shared" si="29"/>
        <v>16.672195129314208</v>
      </c>
      <c r="M115" s="3">
        <f t="shared" si="29"/>
        <v>12.542797341683562</v>
      </c>
      <c r="N115" s="3">
        <f t="shared" si="25"/>
        <v>20.758458475788299</v>
      </c>
      <c r="O115" s="3">
        <f t="shared" si="9"/>
        <v>2.2607623697650103</v>
      </c>
      <c r="P115" s="3">
        <f t="shared" si="26"/>
        <v>2.2541656163217878</v>
      </c>
      <c r="Q115" s="3">
        <f>DEGREES(ATAN(1/(K115*I$113)))*60*60</f>
        <v>37.779387222468756</v>
      </c>
      <c r="R115" s="37">
        <f>+R113</f>
        <v>3.5</v>
      </c>
      <c r="S115" s="3">
        <f t="shared" si="28"/>
        <v>5.1428571428571432</v>
      </c>
      <c r="T115" s="5"/>
      <c r="U115" s="5"/>
      <c r="V115" s="5"/>
      <c r="W115" s="5"/>
      <c r="X115" s="5"/>
      <c r="Y115" s="5"/>
      <c r="Z115" s="5"/>
      <c r="AA115" s="5"/>
      <c r="AB115" s="5"/>
      <c r="AC115" s="5"/>
      <c r="AD115" s="5"/>
      <c r="AE115" s="5"/>
      <c r="AF115" s="5"/>
      <c r="AG115" s="5"/>
      <c r="AH115" s="5"/>
      <c r="AI115" s="5"/>
      <c r="AJ115" s="5"/>
      <c r="AK115" s="16"/>
      <c r="AL115" s="42"/>
      <c r="AM115" s="16"/>
      <c r="AN115" s="19"/>
    </row>
    <row r="116" spans="1:40" x14ac:dyDescent="0.25">
      <c r="L116" s="3"/>
      <c r="M116" s="3"/>
      <c r="N116" s="3"/>
      <c r="O116" s="3"/>
      <c r="P116" s="3"/>
      <c r="Q116" s="3"/>
      <c r="R116" s="3"/>
      <c r="S116" s="3"/>
      <c r="AK116" s="3"/>
      <c r="AL116" s="3"/>
      <c r="AM116" s="3"/>
      <c r="AN116" s="3"/>
    </row>
    <row r="117" spans="1:40" ht="13" x14ac:dyDescent="0.3">
      <c r="A117" s="24" t="s">
        <v>60</v>
      </c>
      <c r="L117" s="3"/>
      <c r="M117" s="3"/>
      <c r="N117" s="3"/>
      <c r="O117" s="3"/>
      <c r="P117" s="3"/>
      <c r="Q117" s="3"/>
      <c r="R117" s="3"/>
      <c r="S117" s="3"/>
      <c r="AK117" s="3"/>
      <c r="AL117" s="3"/>
      <c r="AM117" s="3"/>
      <c r="AN117" s="3"/>
    </row>
    <row r="118" spans="1:40" x14ac:dyDescent="0.25">
      <c r="A118" s="59" t="s">
        <v>61</v>
      </c>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row>
    <row r="119" spans="1:40" ht="37.5" customHeight="1" x14ac:dyDescent="0.25">
      <c r="A119" s="60" t="s">
        <v>118</v>
      </c>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row>
    <row r="120" spans="1:40" x14ac:dyDescent="0.25">
      <c r="A120" s="65" t="s">
        <v>80</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row>
    <row r="121" spans="1:40" x14ac:dyDescent="0.25">
      <c r="A121" s="66" t="s">
        <v>81</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row>
    <row r="122" spans="1:40" x14ac:dyDescent="0.25">
      <c r="A122" s="67" t="s">
        <v>64</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row>
    <row r="124" spans="1:40" ht="13" x14ac:dyDescent="0.3">
      <c r="A124" s="24" t="s">
        <v>100</v>
      </c>
    </row>
    <row r="125" spans="1:40" x14ac:dyDescent="0.25">
      <c r="A125" s="64" t="s">
        <v>65</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row>
    <row r="126" spans="1:40" x14ac:dyDescent="0.25">
      <c r="A126" s="64" t="s">
        <v>121</v>
      </c>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row>
    <row r="127" spans="1:40" x14ac:dyDescent="0.25">
      <c r="A127" s="64" t="s">
        <v>104</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row>
    <row r="128" spans="1:40" ht="24.75" customHeight="1" x14ac:dyDescent="0.25">
      <c r="A128" s="63" t="s">
        <v>82</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row>
  </sheetData>
  <mergeCells count="19">
    <mergeCell ref="A128:AN128"/>
    <mergeCell ref="A127:AN127"/>
    <mergeCell ref="A125:AN125"/>
    <mergeCell ref="A126:AN126"/>
    <mergeCell ref="A101:A102"/>
    <mergeCell ref="A120:AN120"/>
    <mergeCell ref="A121:AN121"/>
    <mergeCell ref="A122:AN122"/>
    <mergeCell ref="A103:A104"/>
    <mergeCell ref="A2:A4"/>
    <mergeCell ref="T2:AN2"/>
    <mergeCell ref="A118:AN118"/>
    <mergeCell ref="A119:AN119"/>
    <mergeCell ref="A97:A98"/>
    <mergeCell ref="A99:A100"/>
    <mergeCell ref="A95:A96"/>
    <mergeCell ref="A11:A13"/>
    <mergeCell ref="A87:A89"/>
    <mergeCell ref="A113:A115"/>
  </mergeCells>
  <phoneticPr fontId="2" type="noConversion"/>
  <printOptions horizontalCentered="1"/>
  <pageMargins left="0.25" right="0.25" top="0.5" bottom="0.5" header="0.25" footer="0.25"/>
  <pageSetup scale="42" orientation="portrait" horizontalDpi="1200" verticalDpi="1200" r:id="rId1"/>
  <headerFooter alignWithMargins="0">
    <oddHeader>&amp;CCamera/Lens Interactions</oddHeader>
    <oddFooter>&amp;LPrepared by Eric A. Durant, Ph.D. &lt;durant@msoe.edu&gt;&amp;R&amp;D &amp;T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Camera/Lens Interactions</dc:title>
  <dc:creator>Dr. Eric Durant &lt;durant@msoe.edu&gt;</dc:creator>
  <cp:lastModifiedBy>Eric Durant</cp:lastModifiedBy>
  <cp:lastPrinted>2005-08-22T22:54:02Z</cp:lastPrinted>
  <dcterms:created xsi:type="dcterms:W3CDTF">2003-08-12T23:10:19Z</dcterms:created>
  <dcterms:modified xsi:type="dcterms:W3CDTF">2026-04-29T21:05:06Z</dcterms:modified>
</cp:coreProperties>
</file>